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fileSharing readOnlyRecommended="1"/>
  <workbookPr codeName="Šios_darbaknygės"/>
  <mc:AlternateContent xmlns:mc="http://schemas.openxmlformats.org/markup-compatibility/2006">
    <mc:Choice Requires="x15">
      <x15ac:absPath xmlns:x15ac="http://schemas.microsoft.com/office/spreadsheetml/2010/11/ac" url="https://vkontrolelt-my.sharepoint.com/personal/ktomkovskis_vkontrole_lt/Documents/2026-05-18-FSC-viesinimas/"/>
    </mc:Choice>
  </mc:AlternateContent>
  <xr:revisionPtr revIDLastSave="1433" documentId="8_{85279906-195A-46D7-AC75-BD38038516BE}" xr6:coauthVersionLast="47" xr6:coauthVersionMax="47" xr10:uidLastSave="{587F8950-33BC-405E-BB39-BC0206A25F84}"/>
  <bookViews>
    <workbookView xWindow="-28920" yWindow="-120" windowWidth="29040" windowHeight="15720" xr2:uid="{A1AE88F9-CA63-4FDE-B84D-B54A80B5E975}"/>
  </bookViews>
  <sheets>
    <sheet name="Content" sheetId="1" r:id="rId1"/>
    <sheet name="1. Summary" sheetId="2" r:id="rId2"/>
    <sheet name="2. Macro" sheetId="3" r:id="rId3"/>
    <sheet name="3. GGbudget" sheetId="4" r:id="rId4"/>
    <sheet name="4. SurplusGG" sheetId="5" r:id="rId5"/>
    <sheet name="5. GGexpenditure" sheetId="6" r:id="rId6"/>
    <sheet name="6. GGbudgets" sheetId="7" r:id="rId7"/>
    <sheet name="7. History" sheetId="8" r:id="rId8"/>
    <sheet name="8. NET_EXP_EU" sheetId="9" r:id="rId9"/>
  </sheets>
  <externalReferences>
    <externalReference r:id="rId10"/>
    <externalReference r:id="rId11"/>
  </externalReferences>
  <definedNames>
    <definedName name="eps" localSheetId="7">'[1]2. Macro'!$D$47</definedName>
    <definedName name="eps">'2. Macro'!$D$47</definedName>
    <definedName name="Kalba">[2]Content!$B$2</definedName>
    <definedName name="metai">'[1]3. GGbudget'!$F$5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9" l="1"/>
  <c r="H27" i="9" s="1"/>
  <c r="H30" i="9" s="1"/>
  <c r="G27" i="9"/>
  <c r="G30" i="9" s="1"/>
  <c r="G34" i="9" s="1"/>
  <c r="F6" i="6"/>
  <c r="C6" i="2"/>
  <c r="C12" i="2"/>
  <c r="C10" i="2"/>
  <c r="D10" i="2"/>
  <c r="D11" i="2"/>
  <c r="C11" i="2"/>
  <c r="D9" i="2"/>
  <c r="C9" i="2"/>
  <c r="E6" i="5"/>
  <c r="E16" i="9"/>
  <c r="F16" i="9"/>
  <c r="G16" i="9"/>
  <c r="H16" i="9"/>
  <c r="H17" i="9" s="1"/>
  <c r="D16" i="9"/>
  <c r="G26" i="9"/>
  <c r="H34" i="9" l="1"/>
  <c r="H35" i="9" s="1"/>
  <c r="H37" i="9" s="1"/>
  <c r="H10" i="9" s="1"/>
  <c r="F8" i="3"/>
  <c r="G8" i="3"/>
  <c r="H8" i="3"/>
  <c r="I8" i="3"/>
  <c r="J8" i="3"/>
  <c r="K8" i="3"/>
  <c r="L8" i="3"/>
  <c r="M8" i="3"/>
  <c r="E8" i="3"/>
  <c r="H12" i="9" l="1"/>
  <c r="H14" i="9" s="1"/>
  <c r="G56" i="6"/>
  <c r="H13" i="9" l="1"/>
  <c r="H15" i="9" s="1"/>
  <c r="H18" i="9" s="1"/>
  <c r="F7" i="6"/>
  <c r="E7" i="5"/>
  <c r="C4" i="9" l="1"/>
  <c r="C31" i="2" s="1"/>
  <c r="C3" i="9"/>
  <c r="C30" i="2" s="1"/>
  <c r="H15" i="4"/>
  <c r="G15" i="4"/>
  <c r="H13" i="4"/>
  <c r="G13" i="4"/>
  <c r="H6" i="4" l="1"/>
  <c r="G6" i="4"/>
  <c r="F6" i="4"/>
  <c r="M35" i="3" l="1"/>
  <c r="M34" i="3"/>
  <c r="M36" i="3" s="1"/>
  <c r="M32" i="3"/>
  <c r="F12" i="3" l="1"/>
  <c r="G12" i="3"/>
  <c r="H12" i="3"/>
  <c r="I12" i="3"/>
  <c r="J12" i="3"/>
  <c r="K12" i="3"/>
  <c r="L12" i="3"/>
  <c r="M12" i="3"/>
  <c r="E12" i="3"/>
  <c r="Q8" i="3"/>
  <c r="Q9" i="3"/>
  <c r="Q12" i="3"/>
  <c r="Q19" i="3" s="1"/>
  <c r="Q13" i="3"/>
  <c r="Q17" i="3"/>
  <c r="Q18" i="3"/>
  <c r="Q27" i="3"/>
  <c r="M20" i="3" l="1"/>
  <c r="M19" i="3"/>
  <c r="Q21" i="3"/>
  <c r="Q28" i="3"/>
  <c r="Q20" i="3"/>
  <c r="M23" i="3" l="1"/>
  <c r="M21" i="3"/>
  <c r="G52" i="6"/>
  <c r="F31" i="5"/>
  <c r="F21" i="7"/>
  <c r="F52" i="6"/>
  <c r="E21" i="7"/>
  <c r="E31" i="5"/>
  <c r="Q22" i="3"/>
  <c r="I27" i="3"/>
  <c r="E30" i="5" l="1"/>
  <c r="AC8" i="8" l="1"/>
  <c r="AC7" i="8"/>
  <c r="W8" i="8"/>
  <c r="W7" i="8"/>
  <c r="L35" i="3" l="1"/>
  <c r="L34" i="3"/>
  <c r="L32" i="3"/>
  <c r="P8" i="3" l="1"/>
  <c r="Q10" i="3" s="1"/>
  <c r="P9" i="3"/>
  <c r="P12" i="3"/>
  <c r="P13" i="3"/>
  <c r="P17" i="3"/>
  <c r="P18" i="3"/>
  <c r="P27" i="3"/>
  <c r="Q29" i="3" s="1"/>
  <c r="P19" i="3" l="1"/>
  <c r="Q14" i="3"/>
  <c r="P28" i="3"/>
  <c r="Q30" i="3" s="1"/>
  <c r="P20" i="3"/>
  <c r="Z8" i="8"/>
  <c r="Z7" i="8"/>
  <c r="P21" i="3" l="1"/>
  <c r="P22" i="3"/>
  <c r="E21" i="4" l="1"/>
  <c r="E7" i="4" l="1"/>
  <c r="E27" i="3" l="1"/>
  <c r="E19" i="3"/>
  <c r="E21" i="3" s="1"/>
  <c r="E20" i="3"/>
  <c r="E22" i="3" s="1"/>
  <c r="E28" i="3"/>
  <c r="E34" i="3"/>
  <c r="E36" i="3" s="1"/>
  <c r="E35" i="3"/>
  <c r="F9" i="3"/>
  <c r="F10" i="3"/>
  <c r="F13" i="3"/>
  <c r="F14" i="3"/>
  <c r="F17" i="3"/>
  <c r="F18" i="3"/>
  <c r="O9" i="3"/>
  <c r="O8" i="3"/>
  <c r="P10" i="3" s="1"/>
  <c r="O12" i="3"/>
  <c r="O13" i="3"/>
  <c r="O17" i="3"/>
  <c r="O18" i="3"/>
  <c r="O27" i="3"/>
  <c r="P29" i="3" s="1"/>
  <c r="N9" i="3"/>
  <c r="E5" i="3"/>
  <c r="O19" i="3" l="1"/>
  <c r="P14" i="3"/>
  <c r="O28" i="3"/>
  <c r="P30" i="3" s="1"/>
  <c r="O20" i="3"/>
  <c r="O21" i="3" l="1"/>
  <c r="O22" i="3"/>
  <c r="T8" i="8"/>
  <c r="Q8" i="8"/>
  <c r="N8" i="8"/>
  <c r="K8" i="8"/>
  <c r="H8" i="8"/>
  <c r="F8" i="8"/>
  <c r="D8" i="8"/>
  <c r="T7" i="8"/>
  <c r="Q7" i="8"/>
  <c r="N7" i="8"/>
  <c r="K7" i="8"/>
  <c r="H7" i="8"/>
  <c r="F7" i="8"/>
  <c r="D7" i="8"/>
  <c r="U6" i="8"/>
  <c r="F7" i="4" l="1"/>
  <c r="G35" i="3"/>
  <c r="D18" i="3"/>
  <c r="L9" i="3"/>
  <c r="E6" i="4"/>
  <c r="E12" i="4" s="1"/>
  <c r="L36" i="3" l="1"/>
  <c r="D26" i="3"/>
  <c r="D38" i="3" s="1"/>
  <c r="F21" i="4" l="1"/>
  <c r="F39" i="6" s="1"/>
  <c r="F53" i="6" s="1"/>
  <c r="F34" i="3" l="1"/>
  <c r="G34" i="3"/>
  <c r="H34" i="3"/>
  <c r="I34" i="3"/>
  <c r="J34" i="3"/>
  <c r="K34" i="3"/>
  <c r="L13" i="3" l="1"/>
  <c r="M13" i="3"/>
  <c r="N13" i="3"/>
  <c r="M14" i="3"/>
  <c r="N12" i="3"/>
  <c r="L14" i="3"/>
  <c r="L10" i="3"/>
  <c r="M9" i="3"/>
  <c r="N8" i="3"/>
  <c r="K9" i="3"/>
  <c r="F5" i="3"/>
  <c r="G5" i="3" s="1"/>
  <c r="H5" i="3" s="1"/>
  <c r="I5" i="3" s="1"/>
  <c r="J5" i="3" s="1"/>
  <c r="K5" i="3" s="1"/>
  <c r="P5" i="3" l="1"/>
  <c r="L5" i="3"/>
  <c r="G51" i="6"/>
  <c r="F51" i="6"/>
  <c r="N14" i="3"/>
  <c r="O14" i="3"/>
  <c r="N10" i="3"/>
  <c r="O10" i="3"/>
  <c r="M10" i="3"/>
  <c r="M5" i="3" l="1"/>
  <c r="Q5" i="3"/>
  <c r="F56" i="6"/>
  <c r="K36" i="3" l="1"/>
  <c r="K35" i="3"/>
  <c r="F45" i="6" l="1"/>
  <c r="G45" i="6"/>
  <c r="H29" i="4"/>
  <c r="G29" i="4"/>
  <c r="H19" i="4"/>
  <c r="G19" i="4"/>
  <c r="H17" i="4"/>
  <c r="G17" i="4"/>
  <c r="H21" i="4" l="1"/>
  <c r="G21" i="4"/>
  <c r="F40" i="6" l="1"/>
  <c r="F54" i="6" s="1"/>
  <c r="F55" i="6" s="1"/>
  <c r="H23" i="4" l="1"/>
  <c r="G23" i="4"/>
  <c r="K20" i="3" l="1"/>
  <c r="K22" i="3" s="1"/>
  <c r="F19" i="3"/>
  <c r="F21" i="3" s="1"/>
  <c r="G19" i="3"/>
  <c r="H19" i="3"/>
  <c r="I19" i="3"/>
  <c r="I23" i="3" s="1"/>
  <c r="J19" i="3"/>
  <c r="K19" i="3"/>
  <c r="M18" i="3"/>
  <c r="M17" i="3"/>
  <c r="K25" i="3" l="1"/>
  <c r="K23" i="3"/>
  <c r="J23" i="3"/>
  <c r="J25" i="3"/>
  <c r="I25" i="3"/>
  <c r="K24" i="3"/>
  <c r="K26" i="3"/>
  <c r="G17" i="6"/>
  <c r="F17" i="6"/>
  <c r="G18" i="6" s="1"/>
  <c r="G19" i="6" l="1"/>
  <c r="F19" i="6"/>
  <c r="F18" i="6"/>
  <c r="K27" i="3"/>
  <c r="G5" i="4"/>
  <c r="G10" i="4" l="1"/>
  <c r="G28" i="4"/>
  <c r="G20" i="4"/>
  <c r="G18" i="4"/>
  <c r="G24" i="4"/>
  <c r="D19" i="3" l="1"/>
  <c r="K13" i="3" l="1"/>
  <c r="L17" i="3" l="1"/>
  <c r="N17" i="3"/>
  <c r="L18" i="3"/>
  <c r="N18" i="3"/>
  <c r="K17" i="3"/>
  <c r="L19" i="3" l="1"/>
  <c r="M27" i="3"/>
  <c r="L20" i="3"/>
  <c r="L27" i="3"/>
  <c r="N27" i="3"/>
  <c r="O29" i="3" s="1"/>
  <c r="G13" i="3"/>
  <c r="H13" i="3"/>
  <c r="I13" i="3"/>
  <c r="J13" i="3"/>
  <c r="G10" i="3"/>
  <c r="H10" i="3"/>
  <c r="I10" i="3"/>
  <c r="J10" i="3"/>
  <c r="K10" i="3"/>
  <c r="G9" i="3"/>
  <c r="H9" i="3"/>
  <c r="I9" i="3"/>
  <c r="J9" i="3"/>
  <c r="L24" i="3" l="1"/>
  <c r="L26" i="3"/>
  <c r="L22" i="3"/>
  <c r="L23" i="3"/>
  <c r="L25" i="3"/>
  <c r="L21" i="3"/>
  <c r="H18" i="4"/>
  <c r="H24" i="4"/>
  <c r="H20" i="4"/>
  <c r="H28" i="4"/>
  <c r="M29" i="3"/>
  <c r="N29" i="3"/>
  <c r="H5" i="4"/>
  <c r="M25" i="3" l="1"/>
  <c r="M22" i="3"/>
  <c r="M24" i="3"/>
  <c r="M26" i="3"/>
  <c r="N19" i="3"/>
  <c r="N20" i="3"/>
  <c r="G17" i="3"/>
  <c r="N22" i="3" l="1"/>
  <c r="E11" i="7"/>
  <c r="E12" i="7"/>
  <c r="F11" i="7"/>
  <c r="F12" i="7"/>
  <c r="N21" i="3"/>
  <c r="K28" i="3"/>
  <c r="K21" i="3"/>
  <c r="C7" i="2" l="1"/>
  <c r="J20" i="3" l="1"/>
  <c r="J26" i="3" l="1"/>
  <c r="J24" i="3"/>
  <c r="F43" i="6"/>
  <c r="E36" i="5" l="1"/>
  <c r="E39" i="5"/>
  <c r="E38" i="5"/>
  <c r="E37" i="5"/>
  <c r="E32" i="5"/>
  <c r="F18" i="5" l="1"/>
  <c r="E18" i="5"/>
  <c r="E17" i="5"/>
  <c r="E19" i="5" s="1"/>
  <c r="F17" i="5"/>
  <c r="F19" i="5" s="1"/>
  <c r="E40" i="5"/>
  <c r="F44" i="6" l="1"/>
  <c r="G20" i="6" l="1"/>
  <c r="G21" i="6" s="1"/>
  <c r="G22" i="6" l="1"/>
  <c r="G68" i="6"/>
  <c r="I68" i="6" s="1"/>
  <c r="F67" i="6" l="1"/>
  <c r="H67" i="6" s="1"/>
  <c r="H11" i="4" l="1"/>
  <c r="H12" i="4" s="1"/>
  <c r="H32" i="4" s="1"/>
  <c r="G11" i="4"/>
  <c r="G12" i="4" s="1"/>
  <c r="G32" i="4" s="1"/>
  <c r="F24" i="7" l="1"/>
  <c r="H22" i="4"/>
  <c r="G40" i="6"/>
  <c r="G54" i="6" s="1"/>
  <c r="H10" i="4"/>
  <c r="J36" i="3"/>
  <c r="F46" i="6" s="1"/>
  <c r="I36" i="3"/>
  <c r="H36" i="3"/>
  <c r="G36" i="3"/>
  <c r="F36" i="3"/>
  <c r="J35" i="3"/>
  <c r="G46" i="6" s="1"/>
  <c r="I35" i="3"/>
  <c r="H35" i="3"/>
  <c r="F35" i="3"/>
  <c r="K32" i="3"/>
  <c r="J32" i="3"/>
  <c r="I32" i="3"/>
  <c r="H32" i="3"/>
  <c r="G32" i="3"/>
  <c r="F32" i="3"/>
  <c r="D30" i="3"/>
  <c r="D29" i="3"/>
  <c r="J28" i="3"/>
  <c r="K30" i="3" s="1"/>
  <c r="I28" i="3"/>
  <c r="H28" i="3"/>
  <c r="G28" i="3"/>
  <c r="F28" i="3"/>
  <c r="F30" i="3" s="1"/>
  <c r="D28" i="3"/>
  <c r="L29" i="3"/>
  <c r="J27" i="3"/>
  <c r="K29" i="3" s="1"/>
  <c r="H27" i="3"/>
  <c r="G27" i="3"/>
  <c r="F27" i="3"/>
  <c r="F29" i="3" s="1"/>
  <c r="D27" i="3"/>
  <c r="D39" i="3"/>
  <c r="D25" i="3"/>
  <c r="D24" i="3"/>
  <c r="D23" i="3"/>
  <c r="D22" i="3"/>
  <c r="D21" i="3"/>
  <c r="D31" i="3" s="1"/>
  <c r="D33" i="3" s="1"/>
  <c r="D34" i="3" s="1"/>
  <c r="D36" i="3" s="1"/>
  <c r="I20" i="3"/>
  <c r="H20" i="3"/>
  <c r="G20" i="3"/>
  <c r="G22" i="3" s="1"/>
  <c r="F20" i="3"/>
  <c r="D20" i="3"/>
  <c r="K18" i="3"/>
  <c r="J18" i="3"/>
  <c r="I18" i="3"/>
  <c r="H18" i="3"/>
  <c r="G18" i="3"/>
  <c r="J17" i="3"/>
  <c r="I17" i="3"/>
  <c r="H17" i="3"/>
  <c r="D17" i="3"/>
  <c r="K14" i="3"/>
  <c r="J14" i="3"/>
  <c r="I14" i="3"/>
  <c r="H14" i="3"/>
  <c r="G14" i="3"/>
  <c r="D13" i="3"/>
  <c r="D11" i="3"/>
  <c r="D10" i="3"/>
  <c r="D9" i="3"/>
  <c r="F7" i="7" l="1"/>
  <c r="F6" i="7"/>
  <c r="D32" i="3"/>
  <c r="I24" i="3"/>
  <c r="I26" i="3"/>
  <c r="D12" i="3"/>
  <c r="D14" i="3" s="1"/>
  <c r="D35" i="3"/>
  <c r="G8" i="6"/>
  <c r="G9" i="6" s="1"/>
  <c r="F8" i="6"/>
  <c r="F9" i="6" s="1"/>
  <c r="F14" i="6"/>
  <c r="F15" i="6" s="1"/>
  <c r="G39" i="6"/>
  <c r="G53" i="6" s="1"/>
  <c r="G67" i="6"/>
  <c r="I67" i="6" s="1"/>
  <c r="G14" i="6"/>
  <c r="G15" i="6" s="1"/>
  <c r="I29" i="3"/>
  <c r="H30" i="3"/>
  <c r="J21" i="3"/>
  <c r="G29" i="3"/>
  <c r="J30" i="3"/>
  <c r="G26" i="4"/>
  <c r="G31" i="4" s="1"/>
  <c r="H26" i="4"/>
  <c r="H31" i="4" s="1"/>
  <c r="G22" i="4"/>
  <c r="I30" i="3"/>
  <c r="J29" i="3"/>
  <c r="H29" i="3"/>
  <c r="G30" i="3"/>
  <c r="O5" i="3"/>
  <c r="N5" i="3"/>
  <c r="H22" i="3"/>
  <c r="G21" i="3"/>
  <c r="I22" i="3"/>
  <c r="H21" i="3"/>
  <c r="F22" i="3"/>
  <c r="J22" i="3"/>
  <c r="I21" i="3"/>
  <c r="F16" i="6" l="1"/>
  <c r="F23" i="7"/>
  <c r="G55" i="6"/>
  <c r="F66" i="6"/>
  <c r="H66" i="6" s="1"/>
  <c r="F22" i="7"/>
  <c r="G66" i="6"/>
  <c r="I66" i="6" s="1"/>
  <c r="G16" i="6"/>
  <c r="F20" i="6"/>
  <c r="F21" i="6" s="1"/>
  <c r="F64" i="6"/>
  <c r="F10" i="6"/>
  <c r="G64" i="6"/>
  <c r="G10" i="6"/>
  <c r="E13" i="7"/>
  <c r="F13" i="7"/>
  <c r="F15" i="7" l="1"/>
  <c r="F14" i="7"/>
  <c r="F16" i="7" s="1"/>
  <c r="F9" i="7"/>
  <c r="I64" i="6"/>
  <c r="H64" i="6"/>
  <c r="F22" i="6"/>
  <c r="F68" i="6"/>
  <c r="H68" i="6" s="1"/>
  <c r="F8" i="7" l="1"/>
  <c r="F17" i="7"/>
  <c r="D27" i="2" s="1"/>
  <c r="F10" i="7"/>
  <c r="D26" i="2" s="1"/>
  <c r="D25" i="2"/>
  <c r="F18" i="7" l="1"/>
  <c r="D28" i="2" s="1"/>
  <c r="L28" i="3" l="1"/>
  <c r="L30" i="3" s="1"/>
  <c r="E24" i="4" l="1"/>
  <c r="E14" i="4"/>
  <c r="E16" i="4"/>
  <c r="M28" i="3"/>
  <c r="M30" i="3" s="1"/>
  <c r="E20" i="4"/>
  <c r="E18" i="4"/>
  <c r="E22" i="4"/>
  <c r="E26" i="4"/>
  <c r="E28" i="4"/>
  <c r="E32" i="4" s="1"/>
  <c r="E10" i="4"/>
  <c r="E8" i="4"/>
  <c r="E30" i="4" s="1"/>
  <c r="E29" i="5" l="1"/>
  <c r="E31" i="4"/>
  <c r="E23" i="7" s="1"/>
  <c r="F8" i="4"/>
  <c r="F16" i="4"/>
  <c r="F14" i="4"/>
  <c r="F22" i="4"/>
  <c r="F18" i="4"/>
  <c r="F24" i="4"/>
  <c r="F28" i="4"/>
  <c r="F10" i="4"/>
  <c r="F20" i="4"/>
  <c r="F12" i="4"/>
  <c r="F32" i="4" s="1"/>
  <c r="F26" i="4"/>
  <c r="N28" i="3"/>
  <c r="F30" i="4" l="1"/>
  <c r="E28" i="5" s="1"/>
  <c r="E8" i="5" s="1"/>
  <c r="F31" i="4"/>
  <c r="E22" i="7" s="1"/>
  <c r="N30" i="3"/>
  <c r="O30" i="3"/>
  <c r="E24" i="7"/>
  <c r="E7" i="7" s="1"/>
  <c r="F11" i="6"/>
  <c r="F12" i="6" s="1"/>
  <c r="E6" i="7" l="1"/>
  <c r="E9" i="7" s="1"/>
  <c r="E15" i="7"/>
  <c r="E14" i="7"/>
  <c r="F13" i="6"/>
  <c r="F65" i="6"/>
  <c r="H65" i="6" s="1"/>
  <c r="F23" i="6"/>
  <c r="E14" i="5"/>
  <c r="E16" i="5" s="1"/>
  <c r="E11" i="5"/>
  <c r="E13" i="5" s="1"/>
  <c r="E12" i="5"/>
  <c r="E9" i="5"/>
  <c r="E15" i="5"/>
  <c r="E10" i="5" l="1"/>
  <c r="E8" i="7"/>
  <c r="F69" i="6"/>
  <c r="F24" i="6" s="1"/>
  <c r="C15" i="2" s="1"/>
  <c r="E16" i="7"/>
  <c r="E17" i="7"/>
  <c r="E10" i="7"/>
  <c r="C26" i="2" s="1"/>
  <c r="C25" i="2"/>
  <c r="F28" i="6"/>
  <c r="F31" i="6" s="1"/>
  <c r="F25" i="6"/>
  <c r="C14" i="2"/>
  <c r="F29" i="6"/>
  <c r="E18" i="7" l="1"/>
  <c r="C28" i="2" s="1"/>
  <c r="C27" i="2"/>
  <c r="C18" i="2"/>
  <c r="C22" i="2"/>
  <c r="C16" i="2"/>
  <c r="F26" i="6"/>
  <c r="C17" i="2" s="1"/>
  <c r="F30" i="6"/>
  <c r="C23" i="2" l="1"/>
  <c r="C20" i="2"/>
  <c r="G14" i="4" l="1"/>
  <c r="H14" i="4"/>
  <c r="G7" i="4"/>
  <c r="G8" i="4" s="1"/>
  <c r="H7" i="4"/>
  <c r="H8" i="4" s="1"/>
  <c r="H16" i="4"/>
  <c r="G43" i="6"/>
  <c r="G16" i="4"/>
  <c r="G44" i="6"/>
  <c r="H30" i="4" l="1"/>
  <c r="F28" i="5" s="1"/>
  <c r="F14" i="5" s="1"/>
  <c r="F16" i="5" s="1"/>
  <c r="G30" i="4"/>
  <c r="F29" i="5" s="1"/>
  <c r="G11" i="6"/>
  <c r="F9" i="5" l="1"/>
  <c r="F15" i="5"/>
  <c r="F8" i="5"/>
  <c r="F10" i="5" s="1"/>
  <c r="F11" i="5"/>
  <c r="F13" i="5" s="1"/>
  <c r="F12" i="5"/>
  <c r="G65" i="6"/>
  <c r="G13" i="6"/>
  <c r="G23" i="6"/>
  <c r="G12" i="6"/>
  <c r="G25" i="6" l="1"/>
  <c r="G29" i="6"/>
  <c r="D14" i="2"/>
  <c r="G28" i="6"/>
  <c r="G31" i="6" s="1"/>
  <c r="I65" i="6"/>
  <c r="G69" i="6"/>
  <c r="G24" i="6" l="1"/>
  <c r="D15" i="2" s="1"/>
  <c r="D18" i="2"/>
  <c r="D22" i="2"/>
  <c r="G30" i="6"/>
  <c r="D16" i="2"/>
  <c r="G26" i="6"/>
  <c r="D17" i="2" s="1"/>
  <c r="D20" i="2" l="1"/>
  <c r="D2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Autorius</author>
  </authors>
  <commentList>
    <comment ref="B33" authorId="0" shapeId="0" xr:uid="{4343F627-290C-48E1-BD09-1A0A722583D2}">
      <text>
        <r>
          <rPr>
            <b/>
            <sz val="9"/>
            <color indexed="81"/>
            <rFont val="Tahoma"/>
            <family val="2"/>
            <charset val="186"/>
          </rPr>
          <t>Vidutinio laikotarpio tikslas:</t>
        </r>
        <r>
          <rPr>
            <sz val="9"/>
            <color indexed="81"/>
            <rFont val="Tahoma"/>
            <family val="2"/>
            <charset val="186"/>
          </rPr>
          <t xml:space="preserve">
≥-1,0 proc. jeigu VS skolos ir BVP to meto kainomis santykis yra mažesnis nei 60 proc. BVP to meto kainomis ir rizika dėl Lietuvos VS finansų ilgalaikio tvarumo yra maža;
≥-0,5 proc. kitaip.</t>
        </r>
      </text>
    </comment>
  </commentList>
</comments>
</file>

<file path=xl/sharedStrings.xml><?xml version="1.0" encoding="utf-8"?>
<sst xmlns="http://schemas.openxmlformats.org/spreadsheetml/2006/main" count="592" uniqueCount="420">
  <si>
    <t xml:space="preserve">FISKALINĖS DRAUSMĖS TAISYKLIŲ LAIKYMOSI SKAIČIUOKLĖ / 
SPREADSHEET OF THE FULFILMENT OF FISCAL DISCIPLINE RULES  </t>
  </si>
  <si>
    <t>2026-05-15 BPE–3</t>
  </si>
  <si>
    <t>APRAŠYMAS / DESCRIPTION</t>
  </si>
  <si>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trys taisyklių grupės: perteklinio valdžios sektoriaus (toliau − VS) taisyklė; VS išlaidų augimo ribojimo taisyklė ir VS priskiriamų biudžetų taisyklės. 
2024 m. balandžio 30 d. įsigaliojo naujos ES fiskalinės drausmės taisyklės, kurios grindžiamos VS grynųjų išlaidų valdymu. Skaičiuoklės 3 dalyje pateikiamas VS grynųjų išlaidų skaičiavimas ir jų augimo pagal faktinius duomenis atitiktis ES reikalavimams.
</t>
    </r>
    <r>
      <rPr>
        <i/>
        <sz val="11"/>
        <rFont val="Arial"/>
        <family val="2"/>
        <charset val="186"/>
      </rPr>
      <t>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three groups of the fiscal rules are validated: general government (hereinafter − GG) surplus rule; GG sector expenditure growth limiting rule and rules for the budgets attributable to GG.
On April 30, 2024, new EU fiscal discipline rules came into effect, which are based on the management of GG net expenditure. Section 3 of the spreadsheet presents the calculation of net expenditure and the compliance of its growth, based on actual data, with EU requirements.</t>
    </r>
  </si>
  <si>
    <r>
      <t>SUVESTINĖ /</t>
    </r>
    <r>
      <rPr>
        <i/>
        <sz val="12"/>
        <color theme="7" tint="-0.499984740745262"/>
        <rFont val="Arial"/>
        <family val="2"/>
        <charset val="186"/>
      </rPr>
      <t xml:space="preserve"> </t>
    </r>
    <r>
      <rPr>
        <sz val="12"/>
        <color theme="7" tint="-0.499984740745262"/>
        <rFont val="Arial"/>
        <family val="2"/>
        <charset val="186"/>
      </rPr>
      <t>SUMMARY</t>
    </r>
  </si>
  <si>
    <t xml:space="preserve">1. Fiskalinės drausmės taisyklių laikymosi suvestinė / Summary of the fulfilment of the fiscal discipline rules </t>
  </si>
  <si>
    <t>1. DUOMENYS / DATA</t>
  </si>
  <si>
    <t>2. Makroekonominiai ir ciklo rodikliai / Macroeconomic and cyclical indicators</t>
  </si>
  <si>
    <t>3. VS fiskaliniai rodikliai / GG fiscal indicators</t>
  </si>
  <si>
    <t>2. FISKALINĖS DRAUSMĖS TAISYKLĖS / FISCAL RULES</t>
  </si>
  <si>
    <t>4. Perteklinio VS taisyklė / Surplus GG rule</t>
  </si>
  <si>
    <t xml:space="preserve"> </t>
  </si>
  <si>
    <t>5. VS išlaidų augimo ribojimo taisyklė / GG expenditure growth limiting rule</t>
  </si>
  <si>
    <t>6. VS priskiriamų biudžetų taisyklė / Rules for the budgets attributable to GG sector</t>
  </si>
  <si>
    <t>3. ISTORINIS NACIONALINIŲ TAISYKLIŲ LAIKYMASIS / HISTORICAL ADHERENCE TO NATIONAL RULES</t>
  </si>
  <si>
    <t>7. Istorinis taisyklių laikymasis / Historical adherence to fiscal rules</t>
  </si>
  <si>
    <t>4. ES IŠLAIDŲ AUGIMO RIBOJIMO TAISYKLĖ / EU EXPENDITURE GROWTH LIMITING RULE</t>
  </si>
  <si>
    <t>8. Grynųjų išlaidų augimo atitiktis FSP riboms / Net expenditure growth compliance with FSP limits</t>
  </si>
  <si>
    <t>NUORODOS / REFERENCES</t>
  </si>
  <si>
    <t>KĮ</t>
  </si>
  <si>
    <t xml:space="preserve">Lietuvos Respublikos fiskalinės sutarties įgyvendinimo konstitucinis įstatymas </t>
  </si>
  <si>
    <t>CL</t>
  </si>
  <si>
    <t>Republic of Lithuania Constitutional Law on the Implementation of the Fiscal Treaty</t>
  </si>
  <si>
    <t>FDĮ</t>
  </si>
  <si>
    <t xml:space="preserve">Lietuvos Respublikos fiskalinės drausmės įstatymas </t>
  </si>
  <si>
    <t>FDL</t>
  </si>
  <si>
    <t>Republic of Lithuania Fiscal Discipline Law</t>
  </si>
  <si>
    <t>FVĮ</t>
  </si>
  <si>
    <t>Lietuvos Respublikos fiskalinės valdysenos įstatymas</t>
  </si>
  <si>
    <t>FGL</t>
  </si>
  <si>
    <t>Republic of Lithuania Fiscal Governance Law</t>
  </si>
  <si>
    <t>Stabilumo ir augimo pakto teisinis pagrindas (Legal basis of the Stability and Growth Pact)</t>
  </si>
  <si>
    <t>↖ Turinys  / Content</t>
  </si>
  <si>
    <t>LT</t>
  </si>
  <si>
    <r>
      <t xml:space="preserve">1. Fiskalinės drausmės taisyklių laikymosi suvestinė 2025 m.
</t>
    </r>
    <r>
      <rPr>
        <b/>
        <i/>
        <sz val="11"/>
        <color theme="7" tint="-0.499984740745262"/>
        <rFont val="Arial"/>
        <family val="2"/>
        <charset val="186"/>
      </rPr>
      <t>Summary of the fulfilment of the fiscal discipline rules in year 2025</t>
    </r>
  </si>
  <si>
    <t>Taisyklė / Rule</t>
  </si>
  <si>
    <r>
      <t xml:space="preserve">Institucija, kurios projekcijų pagrindu atliekama analizė
</t>
    </r>
    <r>
      <rPr>
        <i/>
        <sz val="11"/>
        <rFont val="Arial"/>
        <family val="2"/>
        <charset val="186"/>
      </rPr>
      <t>Institution, projections of which are used for the analysis</t>
    </r>
  </si>
  <si>
    <t>FM</t>
  </si>
  <si>
    <t>VK FI</t>
  </si>
  <si>
    <r>
      <t xml:space="preserve">Ar </t>
    </r>
    <r>
      <rPr>
        <i/>
        <sz val="11"/>
        <color rgb="FF000000"/>
        <rFont val="Arial"/>
        <family val="2"/>
        <charset val="186"/>
      </rPr>
      <t>t</t>
    </r>
    <r>
      <rPr>
        <sz val="11"/>
        <color rgb="FF000000"/>
        <rFont val="Arial"/>
        <family val="2"/>
        <charset val="186"/>
      </rPr>
      <t xml:space="preserve"> metai yra išskirtinių aplinkybių metai?</t>
    </r>
  </si>
  <si>
    <t>Is year t a year of exceptional circumstances?</t>
  </si>
  <si>
    <t>Perteklinio VS taisyklė / Surplus GG sector rule</t>
  </si>
  <si>
    <t xml:space="preserve">Ar patenkinta bent viena perteklinio VS taisyklės sąlygų?
</t>
  </si>
  <si>
    <t>Is at least one condition of the surplus GG rule satisfied?</t>
  </si>
  <si>
    <t>In accordance with Article 10(5) of the CL</t>
  </si>
  <si>
    <t>VS išlaidų augimo ribojimo taisyklė / GG expenditure growth limiting rule</t>
  </si>
  <si>
    <t xml:space="preserve">Ar susidaro bent viena aplinkybė, leidžianti netaikyti VS išlaidų augimo ribojimo taisyklės?
</t>
  </si>
  <si>
    <t>Is at least one escape clause, which allows switching off GG expenditure growth limiting rule, valid?</t>
  </si>
  <si>
    <t>Ar taikoma VS išlaidų augimą ribojimo taisyklė?</t>
  </si>
  <si>
    <t>Remiantis KĮ 10 str. 5 d.</t>
  </si>
  <si>
    <t>Is GG expenditure growth limiting rule applied?</t>
  </si>
  <si>
    <t>Ar galioja VS išlaidų augimo ribojimo taisyklė?</t>
  </si>
  <si>
    <t>Is GG expenditure growth limiting rule valid?</t>
  </si>
  <si>
    <t>VS priskiriamų biudžetų taisyklės / Rules for the budgets attributable to GG sector</t>
  </si>
  <si>
    <t>Netikrinama</t>
  </si>
  <si>
    <t>Taisyklė PSDF struktūriniam biudžetui</t>
  </si>
  <si>
    <t>Rule for NHIF structural budget</t>
  </si>
  <si>
    <t>Taisyklė VSDF struktūriniam biudžetui</t>
  </si>
  <si>
    <t>Rule for SSIF structural budget</t>
  </si>
  <si>
    <t>Grynųjų išlaidų augimo atitiktis FSP riboms / Net expenditure growth compliance with FSP limits</t>
  </si>
  <si>
    <r>
      <rPr>
        <sz val="11"/>
        <rFont val="Arial"/>
        <family val="2"/>
        <charset val="186"/>
      </rPr>
      <t>Ar sukauptas nuokrypis nuo FSP ribų neviršyja 0,6 proc. BVP ribos?</t>
    </r>
    <r>
      <rPr>
        <i/>
        <sz val="11"/>
        <rFont val="Arial"/>
        <family val="2"/>
        <charset val="186"/>
      </rPr>
      <t xml:space="preserve">
Is the cumulative net expenditure deviation from FSP limits below 0.6% GDP?
</t>
    </r>
  </si>
  <si>
    <t>Šaltiniai:</t>
  </si>
  <si>
    <t>Sources:</t>
  </si>
  <si>
    <t>Finansų ministerija</t>
  </si>
  <si>
    <t>Ministry of Finance</t>
  </si>
  <si>
    <t>Valstybės kontrolė, kaip nepriklausoma fiskalinė institucija</t>
  </si>
  <si>
    <t>National Audit Office as the Independent Fiscal Institution</t>
  </si>
  <si>
    <t>2. Makroekonominiai ir ciklo rodikliai 
Macroeconomic and cyclical indicators</t>
  </si>
  <si>
    <r>
      <t xml:space="preserve">Rodiklis
</t>
    </r>
    <r>
      <rPr>
        <i/>
        <sz val="11"/>
        <color rgb="FF000000"/>
        <rFont val="Arial"/>
        <family val="2"/>
        <charset val="186"/>
      </rPr>
      <t>Indicator</t>
    </r>
  </si>
  <si>
    <r>
      <t xml:space="preserve">Žymėjimas | Formulė
</t>
    </r>
    <r>
      <rPr>
        <i/>
        <sz val="11"/>
        <color rgb="FF000000"/>
        <rFont val="Arial"/>
        <family val="2"/>
        <charset val="186"/>
      </rPr>
      <t xml:space="preserve">Notation | Formula     </t>
    </r>
    <r>
      <rPr>
        <sz val="11"/>
        <color rgb="FF000000"/>
        <rFont val="Arial"/>
        <family val="2"/>
        <charset val="186"/>
      </rPr>
      <t xml:space="preserve">               </t>
    </r>
  </si>
  <si>
    <r>
      <t xml:space="preserve">Duomenys atnaujinti
</t>
    </r>
    <r>
      <rPr>
        <i/>
        <sz val="11"/>
        <rFont val="Arial"/>
        <family val="2"/>
        <charset val="186"/>
      </rPr>
      <t>Data updated on</t>
    </r>
  </si>
  <si>
    <r>
      <rPr>
        <sz val="11"/>
        <rFont val="Arial"/>
        <family val="2"/>
        <charset val="186"/>
      </rPr>
      <t xml:space="preserve">Projekcijos </t>
    </r>
    <r>
      <rPr>
        <i/>
        <sz val="11"/>
        <rFont val="Arial"/>
        <family val="2"/>
        <charset val="186"/>
      </rPr>
      <t xml:space="preserve">/ </t>
    </r>
    <r>
      <rPr>
        <sz val="11"/>
        <rFont val="Arial"/>
        <family val="2"/>
        <charset val="186"/>
      </rPr>
      <t>Projections</t>
    </r>
  </si>
  <si>
    <t>Laikas / Time</t>
  </si>
  <si>
    <t>T</t>
  </si>
  <si>
    <t>t-8</t>
  </si>
  <si>
    <t>t-7</t>
  </si>
  <si>
    <t>t-6</t>
  </si>
  <si>
    <t>t-5</t>
  </si>
  <si>
    <t>t-4</t>
  </si>
  <si>
    <t>t-3</t>
  </si>
  <si>
    <t>t-2</t>
  </si>
  <si>
    <t>t-1</t>
  </si>
  <si>
    <t>t</t>
  </si>
  <si>
    <t>t+1</t>
  </si>
  <si>
    <t>t+2</t>
  </si>
  <si>
    <t>t+3</t>
  </si>
  <si>
    <t>t+4</t>
  </si>
  <si>
    <r>
      <t xml:space="preserve">Nominalusis BVP, mln. EUR
</t>
    </r>
    <r>
      <rPr>
        <i/>
        <sz val="11"/>
        <color rgb="FF000000"/>
        <rFont val="Arial"/>
        <family val="2"/>
        <charset val="186"/>
      </rPr>
      <t>Nominal GDP, million EUR</t>
    </r>
  </si>
  <si>
    <t>YN(T)</t>
  </si>
  <si>
    <r>
      <t xml:space="preserve">Nominalusis BVP, metinis augimas proc.
</t>
    </r>
    <r>
      <rPr>
        <i/>
        <sz val="11"/>
        <color rgb="FF000000"/>
        <rFont val="Arial"/>
        <family val="2"/>
        <charset val="186"/>
      </rPr>
      <t>Nominal GDP growth, annual % change</t>
    </r>
  </si>
  <si>
    <t>ΔYN(T)=(YN(T)/YN(T–1)–1)∙100</t>
  </si>
  <si>
    <r>
      <t xml:space="preserve">Realusis BVP, mln. EUR
</t>
    </r>
    <r>
      <rPr>
        <i/>
        <sz val="11"/>
        <color rgb="FF000000"/>
        <rFont val="Arial"/>
        <family val="2"/>
        <charset val="186"/>
      </rPr>
      <t>Real GDP, million EUR</t>
    </r>
  </si>
  <si>
    <t>YR(T)</t>
  </si>
  <si>
    <r>
      <t xml:space="preserve">Realusis BVP, metinis augimas proc.
</t>
    </r>
    <r>
      <rPr>
        <i/>
        <sz val="11"/>
        <color rgb="FF000000"/>
        <rFont val="Arial"/>
        <family val="2"/>
        <charset val="186"/>
      </rPr>
      <t>Real GDP growth, annual % change</t>
    </r>
  </si>
  <si>
    <t>ΔYR(T)=(YR(T)/YR(T–1)–1)∙100</t>
  </si>
  <si>
    <t>Potencialus BVP, mln. EUR
Potential GDP, million EUR</t>
  </si>
  <si>
    <t>Y*(T)</t>
  </si>
  <si>
    <t>Potencialus BVP, metinis augimas proc.
Potential GDP growth, annual % change</t>
  </si>
  <si>
    <t>ΔY*(T)=(Y*(T)/Y*(T–1)–1)∙100</t>
  </si>
  <si>
    <r>
      <t xml:space="preserve">Atotrūkis nuo potencialo, proc. pot. BVP
</t>
    </r>
    <r>
      <rPr>
        <i/>
        <sz val="11"/>
        <color rgb="FF000000"/>
        <rFont val="Arial"/>
        <family val="2"/>
        <charset val="186"/>
      </rPr>
      <t>Output gap (OG), % pot. GDP</t>
    </r>
  </si>
  <si>
    <t>AP(T)=(YR(T)/Y*(T)–1)∙100</t>
  </si>
  <si>
    <r>
      <t xml:space="preserve">Ciklinė VS biudžeto dedamoji, proc. pot. BVP
</t>
    </r>
    <r>
      <rPr>
        <i/>
        <sz val="11"/>
        <rFont val="Arial"/>
        <family val="2"/>
        <charset val="186"/>
      </rPr>
      <t>Cyclical GG budgetary component, % pot. GDP</t>
    </r>
  </si>
  <si>
    <t>CB(T) = ε∙AP(T)</t>
  </si>
  <si>
    <r>
      <t xml:space="preserve">Ciklinė VSDF biudžeto dedamoji, proc. pot. BVP
</t>
    </r>
    <r>
      <rPr>
        <i/>
        <sz val="11"/>
        <rFont val="Arial"/>
        <family val="2"/>
        <charset val="186"/>
      </rPr>
      <t>Cyclical SSIF budgetary component, % pot. GDP</t>
    </r>
  </si>
  <si>
    <r>
      <t>CB</t>
    </r>
    <r>
      <rPr>
        <vertAlign val="subscript"/>
        <sz val="11"/>
        <rFont val="Arial"/>
        <family val="2"/>
        <charset val="186"/>
      </rPr>
      <t>VSDF</t>
    </r>
    <r>
      <rPr>
        <sz val="11"/>
        <rFont val="Arial"/>
        <family val="2"/>
        <charset val="186"/>
      </rPr>
      <t>(T) = ε</t>
    </r>
    <r>
      <rPr>
        <vertAlign val="subscript"/>
        <sz val="11"/>
        <rFont val="Arial"/>
        <family val="2"/>
        <charset val="186"/>
      </rPr>
      <t>VSDF</t>
    </r>
    <r>
      <rPr>
        <sz val="11"/>
        <rFont val="Arial"/>
        <family val="2"/>
        <charset val="186"/>
      </rPr>
      <t>∙AP(T)</t>
    </r>
  </si>
  <si>
    <r>
      <t xml:space="preserve">Ciklinė PSDF biudžeto dedamoji, proc. pot. BVP
</t>
    </r>
    <r>
      <rPr>
        <i/>
        <sz val="11"/>
        <rFont val="Arial"/>
        <family val="2"/>
        <charset val="186"/>
      </rPr>
      <t>Cyclical NHIF budgetary component, % pot. GDP</t>
    </r>
  </si>
  <si>
    <r>
      <t>CB</t>
    </r>
    <r>
      <rPr>
        <vertAlign val="subscript"/>
        <sz val="11"/>
        <rFont val="Arial"/>
        <family val="2"/>
        <charset val="186"/>
      </rPr>
      <t>PSDF</t>
    </r>
    <r>
      <rPr>
        <sz val="11"/>
        <rFont val="Arial"/>
        <family val="2"/>
        <charset val="186"/>
      </rPr>
      <t>(T) = ε</t>
    </r>
    <r>
      <rPr>
        <vertAlign val="subscript"/>
        <sz val="11"/>
        <rFont val="Arial"/>
        <family val="2"/>
        <charset val="186"/>
      </rPr>
      <t>PSDF</t>
    </r>
    <r>
      <rPr>
        <sz val="11"/>
        <rFont val="Arial"/>
        <family val="2"/>
        <charset val="186"/>
      </rPr>
      <t>∙AP(T)</t>
    </r>
  </si>
  <si>
    <r>
      <t xml:space="preserve">BVP defliatorius, 2021 = 100
</t>
    </r>
    <r>
      <rPr>
        <i/>
        <sz val="11"/>
        <color rgb="FF000000"/>
        <rFont val="Arial"/>
        <family val="2"/>
        <charset val="186"/>
      </rPr>
      <t>GDP deflator, 2021 = 100</t>
    </r>
  </si>
  <si>
    <t>P(T) = YN(T)/YR(T)</t>
  </si>
  <si>
    <r>
      <t xml:space="preserve">BVP defliatorius, metinis augimas proc.
</t>
    </r>
    <r>
      <rPr>
        <i/>
        <sz val="11"/>
        <color rgb="FF000000"/>
        <rFont val="Arial"/>
        <family val="2"/>
        <charset val="186"/>
      </rPr>
      <t>GDP deflator, annual % change</t>
    </r>
  </si>
  <si>
    <t>ΔP(T)=(P(T)/P(T–1)–1)∙100</t>
  </si>
  <si>
    <r>
      <t xml:space="preserve">ES nominalus BVP, mlrd. EUR
</t>
    </r>
    <r>
      <rPr>
        <i/>
        <sz val="11"/>
        <color rgb="FF000000"/>
        <rFont val="Arial"/>
        <family val="2"/>
        <charset val="186"/>
      </rPr>
      <t>EU nominal GDP, billion EUR</t>
    </r>
  </si>
  <si>
    <r>
      <t>YN</t>
    </r>
    <r>
      <rPr>
        <vertAlign val="subscript"/>
        <sz val="11"/>
        <rFont val="Arial"/>
        <family val="2"/>
        <charset val="186"/>
      </rPr>
      <t>ES</t>
    </r>
    <r>
      <rPr>
        <sz val="11"/>
        <rFont val="Arial"/>
        <family val="2"/>
        <charset val="186"/>
      </rPr>
      <t>(T)</t>
    </r>
  </si>
  <si>
    <r>
      <t xml:space="preserve">ES nominalus BVP, metinis augimas proc.
</t>
    </r>
    <r>
      <rPr>
        <i/>
        <sz val="11"/>
        <color rgb="FF000000"/>
        <rFont val="Arial"/>
        <family val="2"/>
        <charset val="186"/>
      </rPr>
      <t>EU nominal GDP growth, annual % change</t>
    </r>
  </si>
  <si>
    <r>
      <t>ΔYN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(T–1)–1)∙100</t>
    </r>
  </si>
  <si>
    <r>
      <t xml:space="preserve">VS biudžeto balansas mln. EUR
</t>
    </r>
    <r>
      <rPr>
        <i/>
        <sz val="11"/>
        <rFont val="Arial"/>
        <family val="2"/>
        <charset val="186"/>
      </rPr>
      <t>Balance of GG budget, million EUR</t>
    </r>
  </si>
  <si>
    <t>BL(T)</t>
  </si>
  <si>
    <r>
      <t xml:space="preserve">VS biudžeto balansas proc. BVP
</t>
    </r>
    <r>
      <rPr>
        <i/>
        <sz val="11"/>
        <color rgb="FF000000"/>
        <rFont val="Arial"/>
        <family val="2"/>
        <charset val="186"/>
      </rPr>
      <t>Balance of GG budget, % of GDP</t>
    </r>
  </si>
  <si>
    <t>B(T)=BL(T)/YN(T)</t>
  </si>
  <si>
    <r>
      <t xml:space="preserve">VS biudžeto dalinis elastingumas pot. BVP
</t>
    </r>
    <r>
      <rPr>
        <i/>
        <sz val="11"/>
        <color rgb="FF000000"/>
        <rFont val="Arial"/>
        <family val="2"/>
        <charset val="186"/>
      </rPr>
      <t>Semi-elasticity of the GG budget to the OG</t>
    </r>
  </si>
  <si>
    <t>ε</t>
  </si>
  <si>
    <r>
      <t xml:space="preserve">VSDF biudžeto semi-elastingumas pot. BVP
</t>
    </r>
    <r>
      <rPr>
        <i/>
        <sz val="11"/>
        <color rgb="FF000000"/>
        <rFont val="Arial"/>
        <family val="2"/>
        <charset val="186"/>
      </rPr>
      <t>Semi-elasticity of the SSIF budget to the OG</t>
    </r>
  </si>
  <si>
    <r>
      <t>ε</t>
    </r>
    <r>
      <rPr>
        <vertAlign val="subscript"/>
        <sz val="11"/>
        <color rgb="FF000000"/>
        <rFont val="Arial"/>
        <family val="2"/>
        <charset val="186"/>
      </rPr>
      <t>VSDF</t>
    </r>
  </si>
  <si>
    <r>
      <t xml:space="preserve">PSDF biudžeto semi-elastingumas pot. BVP
</t>
    </r>
    <r>
      <rPr>
        <i/>
        <sz val="11"/>
        <rFont val="Arial"/>
        <family val="2"/>
        <charset val="186"/>
      </rPr>
      <t>Semi-elasticity of the NHIF budget to the OG</t>
    </r>
  </si>
  <si>
    <r>
      <t>ε</t>
    </r>
    <r>
      <rPr>
        <vertAlign val="subscript"/>
        <sz val="11"/>
        <rFont val="Arial"/>
        <family val="2"/>
        <charset val="186"/>
      </rPr>
      <t>PSDF</t>
    </r>
  </si>
  <si>
    <t>Europos Komisija, Eurostatas, Valstybės duomenų agentūra</t>
  </si>
  <si>
    <t>European Commission, Eurostat, State Data Agency</t>
  </si>
  <si>
    <t>2026 pavasario ERS duomenys</t>
  </si>
  <si>
    <t>Finansų ministerija (FM)</t>
  </si>
  <si>
    <t>EDS data for spring 2026                    Ministry of Finance (FM)</t>
  </si>
  <si>
    <t>Valstybės kontrolės, vykdančios fiskalinės institucijos funkcijas, skaičiavimai</t>
  </si>
  <si>
    <t>National Audit Office of Lithuania, implementing the functions of the fiscal institution</t>
  </si>
  <si>
    <t>ERS – ekonominės raidos scenarijus</t>
  </si>
  <si>
    <t xml:space="preserve">EDS – the Economic Development Scenario </t>
  </si>
  <si>
    <t>Dėmesio: langeliai su formulėmis, atnaujinami tik spalvoti langeliai</t>
  </si>
  <si>
    <t>Warning: cells with formulas, data inputs are marked with coloured cells</t>
  </si>
  <si>
    <t>Apvalinimo tikslumas</t>
  </si>
  <si>
    <t>3. VS fiskaliniai rodikliai 
GG fiscal indicators</t>
  </si>
  <si>
    <r>
      <t xml:space="preserve">Žymėjimas | Formulė    
</t>
    </r>
    <r>
      <rPr>
        <i/>
        <sz val="11"/>
        <color rgb="FF000000"/>
        <rFont val="Arial"/>
        <family val="2"/>
        <charset val="186"/>
      </rPr>
      <t xml:space="preserve">   Notation | Formula</t>
    </r>
  </si>
  <si>
    <r>
      <t xml:space="preserve">Matavimo vnt.
</t>
    </r>
    <r>
      <rPr>
        <i/>
        <sz val="11"/>
        <color rgb="FF000000"/>
        <rFont val="Arial"/>
        <family val="2"/>
        <charset val="186"/>
      </rPr>
      <t>Unit</t>
    </r>
  </si>
  <si>
    <r>
      <t xml:space="preserve">Nominalusis BVP
</t>
    </r>
    <r>
      <rPr>
        <i/>
        <sz val="11"/>
        <color rgb="FF000000"/>
        <rFont val="Arial"/>
        <family val="2"/>
        <charset val="186"/>
      </rPr>
      <t>Nominal GDP</t>
    </r>
  </si>
  <si>
    <t>mln. EUR</t>
  </si>
  <si>
    <r>
      <t xml:space="preserve">Grynasis skolinimas (+) / grynasis skolinimasis (-), iš jo
</t>
    </r>
    <r>
      <rPr>
        <i/>
        <sz val="11"/>
        <rFont val="Arial"/>
        <family val="2"/>
        <charset val="186"/>
      </rPr>
      <t>Net lending (+) / net borrowing (-), of which</t>
    </r>
  </si>
  <si>
    <t>B=VP–VI</t>
  </si>
  <si>
    <t>% BVP / GDP</t>
  </si>
  <si>
    <r>
      <t xml:space="preserve">Valstybinis socialinio draudimo fondas
</t>
    </r>
    <r>
      <rPr>
        <i/>
        <sz val="11"/>
        <rFont val="Arial"/>
        <family val="2"/>
        <charset val="186"/>
      </rPr>
      <t>State Social Insurance Fund</t>
    </r>
  </si>
  <si>
    <t>VSDF</t>
  </si>
  <si>
    <r>
      <t xml:space="preserve">Privalomojo sveikatos draudimo fondas
</t>
    </r>
    <r>
      <rPr>
        <i/>
        <sz val="11"/>
        <rFont val="Arial"/>
        <family val="2"/>
        <charset val="186"/>
      </rPr>
      <t>National Health Insurance Fund</t>
    </r>
  </si>
  <si>
    <t>PSDF</t>
  </si>
  <si>
    <r>
      <t xml:space="preserve">Visos pajamos
</t>
    </r>
    <r>
      <rPr>
        <i/>
        <sz val="11"/>
        <rFont val="Arial"/>
        <family val="2"/>
        <charset val="186"/>
      </rPr>
      <t>Total revenues</t>
    </r>
  </si>
  <si>
    <t>VP</t>
  </si>
  <si>
    <r>
      <t xml:space="preserve">Visos išlaidos, iš jų
</t>
    </r>
    <r>
      <rPr>
        <i/>
        <sz val="11"/>
        <rFont val="Arial"/>
        <family val="2"/>
        <charset val="186"/>
      </rPr>
      <t>Total expenditures, of which</t>
    </r>
  </si>
  <si>
    <t>VI</t>
  </si>
  <si>
    <r>
      <t xml:space="preserve">Centrinė valdžia, be pervedimų SAF
</t>
    </r>
    <r>
      <rPr>
        <i/>
        <sz val="11"/>
        <rFont val="Arial"/>
        <family val="2"/>
        <charset val="186"/>
      </rPr>
      <t>Central government, net of transfers to SSF</t>
    </r>
  </si>
  <si>
    <t>CV</t>
  </si>
  <si>
    <r>
      <t xml:space="preserve">Socialinės apsaugos fondai, be pervedimų CV
</t>
    </r>
    <r>
      <rPr>
        <i/>
        <sz val="11"/>
        <rFont val="Arial"/>
        <family val="2"/>
        <charset val="186"/>
      </rPr>
      <t>Social Security Funds, net of transfers to CG</t>
    </r>
  </si>
  <si>
    <t>SAF</t>
  </si>
  <si>
    <r>
      <t xml:space="preserve">Konsoliduotos išlaidos VS posektorių, kurių išlaidos &gt; 3 proc. BVP
</t>
    </r>
    <r>
      <rPr>
        <i/>
        <sz val="11"/>
        <rFont val="Arial"/>
        <family val="2"/>
        <charset val="186"/>
      </rPr>
      <t>Consolidated expenditure of GG subsectors with exp. &gt; 3 % of GDP</t>
    </r>
  </si>
  <si>
    <t>AV3=CV+SAF</t>
  </si>
  <si>
    <r>
      <t xml:space="preserve">Vienkartinės ir kitos laikinosios priemonės
</t>
    </r>
    <r>
      <rPr>
        <i/>
        <sz val="11"/>
        <rFont val="Arial"/>
        <family val="2"/>
        <charset val="186"/>
      </rPr>
      <t>One-off and temporary measures</t>
    </r>
  </si>
  <si>
    <t>1klp</t>
  </si>
  <si>
    <r>
      <t xml:space="preserve">Vienkartinės ir kitos laikinosios priemonės, VSDF
</t>
    </r>
    <r>
      <rPr>
        <i/>
        <sz val="11"/>
        <rFont val="Arial"/>
        <family val="2"/>
        <charset val="186"/>
      </rPr>
      <t>One-off and temporary measures, SSIF</t>
    </r>
  </si>
  <si>
    <r>
      <t>1klp</t>
    </r>
    <r>
      <rPr>
        <vertAlign val="subscript"/>
        <sz val="11"/>
        <rFont val="Arial"/>
        <family val="2"/>
        <charset val="186"/>
      </rPr>
      <t>VSDF</t>
    </r>
  </si>
  <si>
    <r>
      <t xml:space="preserve">Vienkartinės ir kitos laikinosios priemonės, PSDF
</t>
    </r>
    <r>
      <rPr>
        <i/>
        <sz val="11"/>
        <rFont val="Arial"/>
        <family val="2"/>
        <charset val="186"/>
      </rPr>
      <t>One-off and temporary measures, NHIF</t>
    </r>
  </si>
  <si>
    <r>
      <t>1klp</t>
    </r>
    <r>
      <rPr>
        <vertAlign val="subscript"/>
        <sz val="11"/>
        <rFont val="Arial"/>
        <family val="2"/>
        <charset val="186"/>
      </rPr>
      <t>PSDF</t>
    </r>
  </si>
  <si>
    <r>
      <t xml:space="preserve">Lankstumo galimybė dėl vykdomų struktūrinių reformų
</t>
    </r>
    <r>
      <rPr>
        <i/>
        <sz val="11"/>
        <rFont val="Arial"/>
        <family val="2"/>
        <charset val="186"/>
      </rPr>
      <t>Structural reform flexibility clause</t>
    </r>
  </si>
  <si>
    <t>SR</t>
  </si>
  <si>
    <r>
      <t xml:space="preserve">Struktūrinis VS balansas, neįtraukiant struktūrinių reformų
</t>
    </r>
    <r>
      <rPr>
        <i/>
        <sz val="11"/>
        <rFont val="Arial"/>
        <family val="2"/>
        <charset val="186"/>
      </rPr>
      <t>Structural GG balance, excluding structural reforms</t>
    </r>
  </si>
  <si>
    <t>SB = B–CB–1klp+SR</t>
  </si>
  <si>
    <r>
      <t xml:space="preserve">Struktūrinis VSDF balansas
</t>
    </r>
    <r>
      <rPr>
        <i/>
        <sz val="11"/>
        <rFont val="Arial"/>
        <family val="2"/>
        <charset val="186"/>
      </rPr>
      <t>Structural SSIF balance</t>
    </r>
  </si>
  <si>
    <t>SBVSDF = VSDF– CBVSDF–1klpVSDF</t>
  </si>
  <si>
    <r>
      <t xml:space="preserve">Struktūrinis PSDF balansas
</t>
    </r>
    <r>
      <rPr>
        <i/>
        <sz val="11"/>
        <rFont val="Arial"/>
        <family val="2"/>
        <charset val="186"/>
      </rPr>
      <t>Structural NHIF balance</t>
    </r>
  </si>
  <si>
    <t>SBPSDF = PSDF– CBPSDF–1klpPSDF</t>
  </si>
  <si>
    <r>
      <t xml:space="preserve">Vidutinio laikotarpio tikslas
</t>
    </r>
    <r>
      <rPr>
        <i/>
        <sz val="11"/>
        <rFont val="Arial"/>
        <family val="2"/>
        <charset val="186"/>
      </rPr>
      <t>Medium-term objective</t>
    </r>
  </si>
  <si>
    <t>VLT</t>
  </si>
  <si>
    <r>
      <t xml:space="preserve">Struktūrinio postūmio užduotis
</t>
    </r>
    <r>
      <rPr>
        <i/>
        <sz val="11"/>
        <rFont val="Arial"/>
        <family val="2"/>
        <charset val="186"/>
      </rPr>
      <t>Structural adjustment target</t>
    </r>
  </si>
  <si>
    <t>SPU</t>
  </si>
  <si>
    <t>Finansų ministerija, VSDF, PSDF</t>
  </si>
  <si>
    <t>Ministry of Finance, SSIF, NHIF</t>
  </si>
  <si>
    <r>
      <t xml:space="preserve">4. Perteklinio VS taisyklės sąlygos
</t>
    </r>
    <r>
      <rPr>
        <b/>
        <i/>
        <sz val="11"/>
        <color theme="7" tint="-0.499984740745262"/>
        <rFont val="Arial"/>
        <family val="2"/>
        <charset val="186"/>
      </rPr>
      <t>Conditions of the surplus GG sector rule</t>
    </r>
  </si>
  <si>
    <t>Nr.
No.</t>
  </si>
  <si>
    <r>
      <t xml:space="preserve">Sąlyga
</t>
    </r>
    <r>
      <rPr>
        <i/>
        <sz val="11"/>
        <color rgb="FF000000"/>
        <rFont val="Arial"/>
        <family val="2"/>
        <charset val="186"/>
      </rPr>
      <t>Condition</t>
    </r>
  </si>
  <si>
    <r>
      <t xml:space="preserve">Formulė
</t>
    </r>
    <r>
      <rPr>
        <i/>
        <sz val="11"/>
        <color rgb="FF000000"/>
        <rFont val="Arial"/>
        <family val="2"/>
        <charset val="186"/>
      </rPr>
      <t>Formula</t>
    </r>
  </si>
  <si>
    <r>
      <t xml:space="preserve">Išvada
</t>
    </r>
    <r>
      <rPr>
        <i/>
        <sz val="11"/>
        <rFont val="Arial"/>
        <family val="2"/>
        <charset val="186"/>
      </rPr>
      <t>Conclusion</t>
    </r>
  </si>
  <si>
    <t>Institucija, kurios projekcijų pagrindu atliekama analizė
Institution, projections of which are used for the analysis</t>
  </si>
  <si>
    <t>Ar t metai yra išskirtinių aplinkybių metai?</t>
  </si>
  <si>
    <r>
      <t>S</t>
    </r>
    <r>
      <rPr>
        <vertAlign val="subscript"/>
        <sz val="11"/>
        <color theme="7" tint="-0.499984740745262"/>
        <rFont val="Arial"/>
        <family val="2"/>
        <charset val="186"/>
      </rPr>
      <t>1</t>
    </r>
  </si>
  <si>
    <t>VS yra faktiškai perteklinis t metais pagal struktūrinį balansą</t>
  </si>
  <si>
    <t>SB(t) &gt; 0*</t>
  </si>
  <si>
    <t xml:space="preserve">In terms of structural balance GG sector is actually in surplus   </t>
  </si>
  <si>
    <r>
      <t>S</t>
    </r>
    <r>
      <rPr>
        <vertAlign val="subscript"/>
        <sz val="11"/>
        <color theme="7" tint="-0.499984740745262"/>
        <rFont val="Arial"/>
        <family val="2"/>
        <charset val="186"/>
      </rPr>
      <t>2</t>
    </r>
    <r>
      <rPr>
        <sz val="11"/>
        <color theme="1"/>
        <rFont val="Calibri"/>
        <family val="2"/>
        <charset val="186"/>
        <scheme val="minor"/>
      </rPr>
      <t/>
    </r>
  </si>
  <si>
    <t>Faktinio struktūrinio VS balanso rodiklio absoliučioji vertė yra mažesnė negu VLT absoliučioji vertė ir kiekvienais metais mažėja, išskyrus metus, kai produkcijos atotrūkio nuo potencialo rodiklis yra neigiamas</t>
  </si>
  <si>
    <t>|SB(t)| &lt; |VLT| &amp; 
|SB(t)| &lt; |SB(t–1)| &amp;
AP(t) ≥ 0</t>
  </si>
  <si>
    <t>Actual structural GG sector balance indicator in absolute value is lower than MTO in absolute value and is annually decreasing, with the exception of the  year when the output gap is negative</t>
  </si>
  <si>
    <r>
      <t>S</t>
    </r>
    <r>
      <rPr>
        <vertAlign val="subscript"/>
        <sz val="11"/>
        <color theme="7" tint="-0.499984740745262"/>
        <rFont val="Arial"/>
        <family val="2"/>
        <charset val="186"/>
      </rPr>
      <t>3</t>
    </r>
    <r>
      <rPr>
        <sz val="11"/>
        <color theme="1"/>
        <rFont val="Calibri"/>
        <family val="2"/>
        <charset val="186"/>
        <scheme val="minor"/>
      </rPr>
      <t/>
    </r>
  </si>
  <si>
    <t>Faktinio struktūrinio VS balanso rodiklio absoliučioji vertė yra mažesnė negu VLT absoliučioji vertė tais metais, kai produkcijos atotrūkio nuo potencialo rodiklis yra neigiamas</t>
  </si>
  <si>
    <t>|SB(t)| &lt; |VLT| &amp;
AP(t) &lt; 0</t>
  </si>
  <si>
    <t>Actual structural GG sector balance indicator in absolute value is lower than the MTO in absolute value in the year when the output gap is negative</t>
  </si>
  <si>
    <r>
      <t>S</t>
    </r>
    <r>
      <rPr>
        <vertAlign val="subscript"/>
        <sz val="11"/>
        <color theme="7" tint="-0.499984740745262"/>
        <rFont val="Arial"/>
        <family val="2"/>
        <charset val="186"/>
      </rPr>
      <t>4</t>
    </r>
    <r>
      <rPr>
        <sz val="11"/>
        <color theme="1"/>
        <rFont val="Calibri"/>
        <family val="2"/>
        <charset val="186"/>
        <scheme val="minor"/>
      </rPr>
      <t/>
    </r>
  </si>
  <si>
    <t>Faktinio struktūrinio VS balanso rodiklio postūmio VLT link absoliučioji vertė yra ne mažesnė negu struktūrinio postūmio užduoties absoliučioji vertė</t>
  </si>
  <si>
    <t>SPU(t) &gt; 0 &amp;
SB(t) ≥ SB(t–1)+SPU(t)</t>
  </si>
  <si>
    <t>Actual structural GG sector balance indicator adjustment towards the MTO in absolute value is not lower than the structural adjustment target in absolute value.</t>
  </si>
  <si>
    <t>S</t>
  </si>
  <si>
    <r>
      <t>t metais, išskyrus metus, kuriais susidaro išskirtinės aplinkybės, turi būti tenkinama bent viena iš  S</t>
    </r>
    <r>
      <rPr>
        <b/>
        <vertAlign val="subscript"/>
        <sz val="11"/>
        <color theme="7" tint="-0.499984740745262"/>
        <rFont val="Arial"/>
        <family val="2"/>
        <charset val="186"/>
      </rPr>
      <t>1</t>
    </r>
    <r>
      <rPr>
        <b/>
        <sz val="11"/>
        <color theme="7" tint="-0.499984740745262"/>
        <rFont val="Arial"/>
        <family val="2"/>
        <charset val="186"/>
      </rPr>
      <t>–S</t>
    </r>
    <r>
      <rPr>
        <b/>
        <vertAlign val="subscript"/>
        <sz val="11"/>
        <color theme="7" tint="-0.499984740745262"/>
        <rFont val="Arial"/>
        <family val="2"/>
        <charset val="186"/>
      </rPr>
      <t xml:space="preserve">4 </t>
    </r>
    <r>
      <rPr>
        <b/>
        <sz val="11"/>
        <color theme="7" tint="-0.499984740745262"/>
        <rFont val="Arial"/>
        <family val="2"/>
        <charset val="186"/>
      </rPr>
      <t xml:space="preserve">sąlygų </t>
    </r>
  </si>
  <si>
    <t>Netaikoma</t>
  </si>
  <si>
    <t xml:space="preserve">At year t, with the exception of the year of exceptional circumstances, at least one of the S1–S4 conditions is satisfied </t>
  </si>
  <si>
    <t>Not applied</t>
  </si>
  <si>
    <t>* nelygybės ženklas yra griežtas, jei skirtumas tarp lyginamų pusių po apvalinimo sudaro bent 0,1, kitaip ženklas interpretuojamas kaip =</t>
  </si>
  <si>
    <t>* inequality sign is strict, if a difference between both compared sides after rounding is at least 0,1, else the sign is interpreted as =</t>
  </si>
  <si>
    <t>Šaltinis: KĮ 3 straipsnis 1 dalis</t>
  </si>
  <si>
    <t>Source: CL Article 3(1)</t>
  </si>
  <si>
    <t>t =</t>
  </si>
  <si>
    <t>SB(t) =</t>
  </si>
  <si>
    <t>SB(t–1) =</t>
  </si>
  <si>
    <t>VLT =</t>
  </si>
  <si>
    <t>AP(t) =</t>
  </si>
  <si>
    <t>SPU(t) =</t>
  </si>
  <si>
    <t>Valstybės kontrolė, vykdanti fiskalinės institucijos funkcijas</t>
  </si>
  <si>
    <t>National Audit Office of Lithuania, implementing the functions of the fiscal 
institution</t>
  </si>
  <si>
    <t>S1</t>
  </si>
  <si>
    <t>C1</t>
  </si>
  <si>
    <t>S2</t>
  </si>
  <si>
    <t>C2</t>
  </si>
  <si>
    <t>S3</t>
  </si>
  <si>
    <t>C3</t>
  </si>
  <si>
    <t>S4</t>
  </si>
  <si>
    <t>C4</t>
  </si>
  <si>
    <r>
      <t xml:space="preserve">5. VS išlaidų augimo ribojimo taisyklė
</t>
    </r>
    <r>
      <rPr>
        <b/>
        <i/>
        <sz val="11"/>
        <color theme="7" tint="-0.499984740745262"/>
        <rFont val="Arial"/>
        <family val="2"/>
        <charset val="186"/>
      </rPr>
      <t>GG expenditure growth limiting rule</t>
    </r>
  </si>
  <si>
    <r>
      <t xml:space="preserve">Nr.
</t>
    </r>
    <r>
      <rPr>
        <i/>
        <sz val="11"/>
        <color rgb="FF000000"/>
        <rFont val="Arial"/>
        <family val="2"/>
        <charset val="186"/>
      </rPr>
      <t>No.</t>
    </r>
  </si>
  <si>
    <r>
      <t xml:space="preserve">VS išlaidų augimo ribojimo taisyklės netaikymo aplinkybės
</t>
    </r>
    <r>
      <rPr>
        <i/>
        <sz val="11"/>
        <color rgb="FF000000"/>
        <rFont val="Arial"/>
        <family val="2"/>
        <charset val="186"/>
      </rPr>
      <t>GG expenditure growh limiting rule application escape clause</t>
    </r>
    <r>
      <rPr>
        <sz val="11"/>
        <color rgb="FF000000"/>
        <rFont val="Arial"/>
        <family val="2"/>
        <charset val="186"/>
      </rPr>
      <t>s</t>
    </r>
  </si>
  <si>
    <r>
      <rPr>
        <sz val="11"/>
        <color theme="7" tint="-0.499984740745262"/>
        <rFont val="Arial"/>
        <family val="2"/>
        <charset val="186"/>
      </rPr>
      <t>A</t>
    </r>
    <r>
      <rPr>
        <vertAlign val="subscript"/>
        <sz val="11"/>
        <color theme="7" tint="-0.499984740745262"/>
        <rFont val="Arial"/>
        <family val="2"/>
        <charset val="186"/>
      </rPr>
      <t>1</t>
    </r>
  </si>
  <si>
    <t>Pagal 4 paskutinius metų ketvirčius apskaičiuotas Lietuvos BVP to meto kainomis augimas yra mažesnis negu daugiametis ES BVP to meto kainomis augimas, padidintas 2 procentiniais punktais</t>
  </si>
  <si>
    <t>Lithuanian GDP at current prices calculated on the basis of 4 last quarters of the year grows at a slower pace than the multi-annual growth of the GDP of the EU at current prices increased by 2 percentage points</t>
  </si>
  <si>
    <r>
      <rPr>
        <sz val="11"/>
        <color theme="7" tint="-0.499984740745262"/>
        <rFont val="Arial"/>
        <family val="2"/>
        <charset val="186"/>
      </rPr>
      <t>A</t>
    </r>
    <r>
      <rPr>
        <vertAlign val="subscript"/>
        <sz val="11"/>
        <color theme="7" tint="-0.499984740745262"/>
        <rFont val="Arial"/>
        <family val="2"/>
        <charset val="186"/>
      </rPr>
      <t>2</t>
    </r>
  </si>
  <si>
    <t>Numatomas VS balanso rodiklio postūmis yra teigiamas ir sudaro bent 1,0 procentinį punktą BVP</t>
  </si>
  <si>
    <t>B(t) − B(t–1) ≥ 1</t>
  </si>
  <si>
    <t>Projected GG sector balance indicator adjustment is positive and makes up at least 1.0 percentage point of GDP</t>
  </si>
  <si>
    <r>
      <rPr>
        <sz val="11"/>
        <color theme="7" tint="-0.499984740745262"/>
        <rFont val="Arial"/>
        <family val="2"/>
        <charset val="186"/>
      </rPr>
      <t>A</t>
    </r>
    <r>
      <rPr>
        <vertAlign val="subscript"/>
        <sz val="11"/>
        <color theme="7" tint="-0.499984740745262"/>
        <rFont val="Arial"/>
        <family val="2"/>
        <charset val="186"/>
      </rPr>
      <t>3</t>
    </r>
  </si>
  <si>
    <t>Ne mažiau kaip penkerių iš eilės einančių metų VS balanso rodiklio aritmetinis vidurkis yra perteklius, ne mažesnis negu 0,1 procento BVP</t>
  </si>
  <si>
    <t>The arithmetic average of GG sector balance indicator of at least five successive years is in surplus, at least 0.1 % of GDP</t>
  </si>
  <si>
    <r>
      <rPr>
        <sz val="11"/>
        <color theme="7" tint="-0.499984740745262"/>
        <rFont val="Arial"/>
        <family val="2"/>
        <charset val="186"/>
      </rPr>
      <t>A</t>
    </r>
    <r>
      <rPr>
        <vertAlign val="subscript"/>
        <sz val="11"/>
        <color theme="7" tint="-0.499984740745262"/>
        <rFont val="Arial"/>
        <family val="2"/>
        <charset val="186"/>
      </rPr>
      <t>4</t>
    </r>
  </si>
  <si>
    <t>Keičiant einamųjų metų bet kurio iš VS priskiriamų biudžetų, kurių kiekvieno atskirai planuojami asignavimai viršija 3 procentus BVP to meto kainomis, pajamas ar išlaidas, pakeistas VS balansas nepablogės, palyginti su buvusiu prieš keitimą</t>
  </si>
  <si>
    <t>B3(t) ≥ B3**(t)</t>
  </si>
  <si>
    <t>If planned current year GG sector budgets, the planned appropriations of each of which exceed 3 % of GDP at current prices, are subject to amendment,  the adjusted aggregate balances of the GG budgets is not worse than the one before the amendment</t>
  </si>
  <si>
    <r>
      <rPr>
        <sz val="11"/>
        <color theme="7" tint="-0.499984740745262"/>
        <rFont val="Arial"/>
        <family val="2"/>
        <charset val="186"/>
      </rPr>
      <t>A</t>
    </r>
    <r>
      <rPr>
        <vertAlign val="subscript"/>
        <sz val="11"/>
        <color theme="7" tint="-0.499984740745262"/>
        <rFont val="Arial"/>
        <family val="2"/>
        <charset val="186"/>
      </rPr>
      <t>5</t>
    </r>
  </si>
  <si>
    <t>Pagal Vyriausybės arba jos įgaliotos institucijos viešai paskelbtą ekonominės raidos scenarijų, dėl kurio tvirtinimo kontrolės institucija paskelbė išvadą, apskaičiuotas produkcijos atotrūkis nuo potencialo planuojamais metais yra neigiamas</t>
  </si>
  <si>
    <t>AP(t) &lt; 0</t>
  </si>
  <si>
    <t>The output gap for the planned year calculated on the basis of the economic development scenario, which is made public by the Government or its authorised institution and in regard to which the monitoring authority published its conclusion, is negative</t>
  </si>
  <si>
    <t>A</t>
  </si>
  <si>
    <r>
      <t>t metais, VS išlaidų augimo ribojimo taisyklė netaikoma, kai susidaro bent viena iš A</t>
    </r>
    <r>
      <rPr>
        <b/>
        <vertAlign val="subscript"/>
        <sz val="11"/>
        <color theme="7" tint="-0.499984740745262"/>
        <rFont val="Arial"/>
        <family val="2"/>
        <charset val="186"/>
      </rPr>
      <t>1</t>
    </r>
    <r>
      <rPr>
        <b/>
        <sz val="11"/>
        <color theme="7" tint="-0.499984740745262"/>
        <rFont val="Arial"/>
        <family val="2"/>
        <charset val="186"/>
      </rPr>
      <t>–A</t>
    </r>
    <r>
      <rPr>
        <b/>
        <vertAlign val="subscript"/>
        <sz val="11"/>
        <color theme="7" tint="-0.499984740745262"/>
        <rFont val="Arial"/>
        <family val="2"/>
        <charset val="186"/>
      </rPr>
      <t>5</t>
    </r>
    <r>
      <rPr>
        <b/>
        <sz val="11"/>
        <color theme="7" tint="-0.499984740745262"/>
        <rFont val="Arial"/>
        <family val="2"/>
        <charset val="186"/>
      </rPr>
      <t xml:space="preserve"> aplinkybių
</t>
    </r>
  </si>
  <si>
    <t>at year t the GG expenditure growth limiting rule is not applied when at least one of the  A1–A5 escape clauses emerges</t>
  </si>
  <si>
    <r>
      <t xml:space="preserve">Nr.
</t>
    </r>
    <r>
      <rPr>
        <i/>
        <sz val="11"/>
        <color theme="7" tint="-0.499984740745262"/>
        <rFont val="Arial"/>
        <family val="2"/>
        <charset val="186"/>
      </rPr>
      <t>No.</t>
    </r>
  </si>
  <si>
    <r>
      <t xml:space="preserve">Taisyklė
</t>
    </r>
    <r>
      <rPr>
        <i/>
        <sz val="11"/>
        <color theme="7" tint="-0.499984740745262"/>
        <rFont val="Arial"/>
        <family val="2"/>
        <charset val="186"/>
      </rPr>
      <t>Rule</t>
    </r>
  </si>
  <si>
    <r>
      <t xml:space="preserve">Formulė 
</t>
    </r>
    <r>
      <rPr>
        <i/>
        <sz val="11"/>
        <color theme="7" tint="-0.499984740745262"/>
        <rFont val="Arial"/>
        <family val="2"/>
        <charset val="186"/>
      </rPr>
      <t>Formula</t>
    </r>
  </si>
  <si>
    <r>
      <t xml:space="preserve">Išvada
</t>
    </r>
    <r>
      <rPr>
        <i/>
        <sz val="11"/>
        <color theme="7" tint="-0.499984740745262"/>
        <rFont val="Arial"/>
        <family val="2"/>
        <charset val="186"/>
      </rPr>
      <t>Conclusion</t>
    </r>
  </si>
  <si>
    <r>
      <t>T</t>
    </r>
    <r>
      <rPr>
        <vertAlign val="subscript"/>
        <sz val="11"/>
        <color theme="7" tint="-0.499984740745262"/>
        <rFont val="Arial"/>
        <family val="2"/>
        <charset val="186"/>
      </rPr>
      <t>1</t>
    </r>
  </si>
  <si>
    <t xml:space="preserve">Metais t rengiant, tvirtinant ir keičiant VS priskiriamų biudžetų, kurių kiekvieno atskirai planuojami asignavimai viršija 3 proc. BVP to meto kainomis (CV, VSDF ir PSDF išlaidos), patvirtinimo įstatymų arba šių įstatymų pakeitimo įstatymų projektus, vadovaujamasi nuostata, kad tuo atveju, kai paskutinių penkerių pasibaigusių metų VS balanso rodiklių aritmetinis vidurkis yra neigiamas, šių biudžetų asignavimų (išskyrus ES finansinės paramos lėšas) visumos augimas turi būti ne didesnis negu 0,5 potencialaus BVP to meto kainomis daugiamečio augimo vidurkio
</t>
  </si>
  <si>
    <t>Jei / If</t>
  </si>
  <si>
    <t>At year t the preparation, approval and amendment of draft laws or their draft amending laws on approval of the budgets attributable to the GG sector the planned appropriations of each of which exceed 3 % of GDP (central government and social security funds' expenditure) at current prices shall rely on the provision that, in case where arithmetic average of GG sector balance indicators of the past five complete years is negative, the aggregate growth of the appropriations of these budgets (net of EU financial support) is not higher than 0.5 % of the average multi-annual growth rate of the potential GDP at current prices</t>
  </si>
  <si>
    <t>* nelygybės ženklas yra griežtas, jei skirtumas tarp lyginamų pusių po apvalinimo sudaro bent 0,1, kitaip ženklas interpretuojamas kaip =
** einamaisiais metais keičiamas VS balansas</t>
  </si>
  <si>
    <t>* inequality sign is strict, if a difference between both compared sides after rounding is at least 0.1,  else the sign is interpreted as =
** the adjusted aggregate balances of the GG budgets</t>
  </si>
  <si>
    <t>Šaltinis: KĮ 3 straipsnis 3 dalis</t>
  </si>
  <si>
    <t>Source: CL Article 3(3)</t>
  </si>
  <si>
    <t>AV3(t) =</t>
  </si>
  <si>
    <t>AV3(t–1) =</t>
  </si>
  <si>
    <t>ES(t) =</t>
  </si>
  <si>
    <t>ES(t–1) =</t>
  </si>
  <si>
    <t>VI(t) =</t>
  </si>
  <si>
    <t>VI(t–1) =</t>
  </si>
  <si>
    <t>B(t–1)–B(t–2) =</t>
  </si>
  <si>
    <t>BP(t–1)–BP(t–2) =</t>
  </si>
  <si>
    <t>2026 m. pavasario ERS</t>
  </si>
  <si>
    <t>P1(t)/P1(t–1) =</t>
  </si>
  <si>
    <t>EDS data for spring 2026</t>
  </si>
  <si>
    <t>2025 m. rudens ERS</t>
  </si>
  <si>
    <t>P2(t)/P2(t–1) =</t>
  </si>
  <si>
    <t>EDS data for autumn 2025</t>
  </si>
  <si>
    <t>2025 m. rudens EK projekcijos</t>
  </si>
  <si>
    <t>P3(t)/P3(t–1) =</t>
  </si>
  <si>
    <t>EC projections for autumn 2025</t>
  </si>
  <si>
    <t>2025 m. pavasario EK projekcijos</t>
  </si>
  <si>
    <t>P4(t)/P4(t–1) =</t>
  </si>
  <si>
    <t>EC projections for spring 2025</t>
  </si>
  <si>
    <t>2025K1-2025K4</t>
  </si>
  <si>
    <t>ΔYN(t–1) =</t>
  </si>
  <si>
    <t>2025Q1-2025Q4</t>
  </si>
  <si>
    <t>AP(t)  =</t>
  </si>
  <si>
    <t>AV3(t)–ES(t)=</t>
  </si>
  <si>
    <t>AV3(t–1)–ES(t–1)=</t>
  </si>
  <si>
    <t>(AV3(t)-ES(t))/(AV3(t-1)-ES(t-1))=</t>
  </si>
  <si>
    <r>
      <t>Y</t>
    </r>
    <r>
      <rPr>
        <vertAlign val="subscript"/>
        <sz val="11"/>
        <color rgb="FF000000"/>
        <rFont val="Arial"/>
        <family val="2"/>
        <charset val="186"/>
      </rPr>
      <t>np10t</t>
    </r>
  </si>
  <si>
    <t>B3**(t) =</t>
  </si>
  <si>
    <t>B3(t) =</t>
  </si>
  <si>
    <t>Europos Komisija</t>
  </si>
  <si>
    <t>EK</t>
  </si>
  <si>
    <t>European Commission</t>
  </si>
  <si>
    <t>A1</t>
  </si>
  <si>
    <t>A2</t>
  </si>
  <si>
    <t>A3</t>
  </si>
  <si>
    <t>A4</t>
  </si>
  <si>
    <t>A5</t>
  </si>
  <si>
    <r>
      <t xml:space="preserve">6. VS priskiriamų biudžetų taisyklės
</t>
    </r>
    <r>
      <rPr>
        <b/>
        <i/>
        <sz val="11"/>
        <color theme="7" tint="-0.499984740745262"/>
        <rFont val="Arial"/>
        <family val="2"/>
        <charset val="186"/>
      </rPr>
      <t>Rules for the budgets attributable to GG sector</t>
    </r>
  </si>
  <si>
    <r>
      <t xml:space="preserve">Nr.
</t>
    </r>
    <r>
      <rPr>
        <i/>
        <sz val="11"/>
        <color rgb="FF000000"/>
        <rFont val="Arial"/>
        <family val="2"/>
      </rPr>
      <t>No.</t>
    </r>
  </si>
  <si>
    <r>
      <t xml:space="preserve">Taisyklė
</t>
    </r>
    <r>
      <rPr>
        <i/>
        <sz val="11"/>
        <color rgb="FF000000"/>
        <rFont val="Arial"/>
        <family val="2"/>
      </rPr>
      <t>Rule</t>
    </r>
  </si>
  <si>
    <r>
      <t xml:space="preserve">Formulė
</t>
    </r>
    <r>
      <rPr>
        <i/>
        <sz val="11"/>
        <color rgb="FF000000"/>
        <rFont val="Arial"/>
        <family val="2"/>
      </rPr>
      <t>Formula</t>
    </r>
  </si>
  <si>
    <r>
      <t xml:space="preserve">Išvada
</t>
    </r>
    <r>
      <rPr>
        <i/>
        <sz val="11"/>
        <rFont val="Arial"/>
        <family val="2"/>
      </rPr>
      <t>Conclusion</t>
    </r>
  </si>
  <si>
    <r>
      <t>T</t>
    </r>
    <r>
      <rPr>
        <vertAlign val="subscript"/>
        <sz val="11"/>
        <color theme="7" tint="-0.499984740745262"/>
        <rFont val="Arial"/>
        <family val="2"/>
        <charset val="186"/>
      </rPr>
      <t>32</t>
    </r>
  </si>
  <si>
    <t>Nuo 2018 m. sausio 1 d. PSDF biudžetas turi būti planuojamas, tvirtinamas, keičiamas ir vykdomas taip, kad, sprendžiant pagal to biudžeto struktūrinį balanso rodiklį, apskaičiuotą kaupiamuoju principu, jis būtų perteklinis arba subalansuotas</t>
  </si>
  <si>
    <r>
      <t>SB</t>
    </r>
    <r>
      <rPr>
        <vertAlign val="subscript"/>
        <sz val="11"/>
        <rFont val="Arial"/>
        <family val="2"/>
        <charset val="186"/>
      </rPr>
      <t>PSDF</t>
    </r>
    <r>
      <rPr>
        <sz val="11"/>
        <rFont val="Arial"/>
        <family val="2"/>
        <charset val="186"/>
      </rPr>
      <t>(t) ≥ 0</t>
    </r>
  </si>
  <si>
    <t>From 1 January 2018 PSDF budget must be planned, approved, amended and implemented to be in surplus or balanced when judged by its structural balance indicator calculated on accrual basis</t>
  </si>
  <si>
    <t xml:space="preserve">Taisyklė PSDF struktūriniam biudžetui
</t>
  </si>
  <si>
    <t>Rule for PSDF structural budget</t>
  </si>
  <si>
    <r>
      <t>T</t>
    </r>
    <r>
      <rPr>
        <vertAlign val="subscript"/>
        <sz val="11"/>
        <color theme="7" tint="-0.499984740745262"/>
        <rFont val="Arial"/>
        <family val="2"/>
        <charset val="186"/>
      </rPr>
      <t>4</t>
    </r>
  </si>
  <si>
    <t>Nuo 2016 m. sausio 1 d. Lietuvos Respublikos atitinkamų metų VSDF biudžetas planuojamas, tvirtinamas, keičiamas ir vykdomas taip, kad jo struktūrinis deficitas, apskaičiuotas kaupiamuoju principu, galėtų didėti t metais, kuriems pagal Vyriausybės arba jos įgaliotos institucijos viešai paskelbtą ekonominės raidos scenarijų, dėl kurio tvirtinimo kontrolės institucija paskelbė savo išvadą, numatomas neigiamas produkcijos atotrūkis nuo potencialo</t>
  </si>
  <si>
    <t>AP(t) &lt; 0</t>
  </si>
  <si>
    <t>From 1 January 2016 budget of the VSDF of the Republic of Lithuania for a year t shall be planned, approved, amended and implemented in such a way that its structural deficit calculated on accrual basis could increase only in the year when a negative output gap is projected according to the economic development scenario which is made public by the Government of the Republic of Lithuania or its authorised institutions and in regard of which the monitoring authority published its conclusion</t>
  </si>
  <si>
    <r>
      <t>AP(t) ≥ 0 &amp;
(SB</t>
    </r>
    <r>
      <rPr>
        <vertAlign val="subscript"/>
        <sz val="11"/>
        <color rgb="FF000000"/>
        <rFont val="Arial"/>
        <family val="2"/>
        <charset val="186"/>
      </rPr>
      <t>VSDF</t>
    </r>
    <r>
      <rPr>
        <sz val="11"/>
        <color rgb="FF000000"/>
        <rFont val="Arial"/>
        <family val="2"/>
        <charset val="186"/>
      </rPr>
      <t>(t) ≥ SB</t>
    </r>
    <r>
      <rPr>
        <vertAlign val="subscript"/>
        <sz val="11"/>
        <color rgb="FF000000"/>
        <rFont val="Arial"/>
        <family val="2"/>
        <charset val="186"/>
      </rPr>
      <t>VSDF</t>
    </r>
    <r>
      <rPr>
        <sz val="11"/>
        <color rgb="FF000000"/>
        <rFont val="Arial"/>
        <family val="2"/>
        <charset val="186"/>
      </rPr>
      <t>(t–1) arba / or
 SB</t>
    </r>
    <r>
      <rPr>
        <vertAlign val="subscript"/>
        <sz val="11"/>
        <color rgb="FF000000"/>
        <rFont val="Arial"/>
        <family val="2"/>
        <charset val="186"/>
      </rPr>
      <t>VSDF</t>
    </r>
    <r>
      <rPr>
        <sz val="11"/>
        <color rgb="FF000000"/>
        <rFont val="Arial"/>
        <family val="2"/>
        <charset val="186"/>
      </rPr>
      <t>(t) ≥ 0)</t>
    </r>
  </si>
  <si>
    <t>Rule for VSDF structural budget</t>
  </si>
  <si>
    <t>Šaltinis: KĮ 4 straipsnis</t>
  </si>
  <si>
    <t>Source: CL Article 4</t>
  </si>
  <si>
    <r>
      <t>SB</t>
    </r>
    <r>
      <rPr>
        <vertAlign val="subscript"/>
        <sz val="11"/>
        <color rgb="FF000000"/>
        <rFont val="Arial"/>
        <family val="2"/>
        <charset val="186"/>
      </rPr>
      <t>VSDF</t>
    </r>
    <r>
      <rPr>
        <sz val="11"/>
        <color rgb="FF000000"/>
        <rFont val="Arial"/>
        <family val="2"/>
        <charset val="186"/>
      </rPr>
      <t>(t) =</t>
    </r>
  </si>
  <si>
    <r>
      <t>SB</t>
    </r>
    <r>
      <rPr>
        <vertAlign val="subscript"/>
        <sz val="11"/>
        <color rgb="FF000000"/>
        <rFont val="Arial"/>
        <family val="2"/>
        <charset val="186"/>
      </rPr>
      <t>VSDF</t>
    </r>
    <r>
      <rPr>
        <sz val="11"/>
        <color rgb="FF000000"/>
        <rFont val="Arial"/>
        <family val="2"/>
        <charset val="186"/>
      </rPr>
      <t>(t–1) =</t>
    </r>
  </si>
  <si>
    <r>
      <t>SB</t>
    </r>
    <r>
      <rPr>
        <vertAlign val="subscript"/>
        <sz val="11"/>
        <color rgb="FF000000"/>
        <rFont val="Arial"/>
        <family val="2"/>
        <charset val="186"/>
      </rPr>
      <t>PSDF</t>
    </r>
    <r>
      <rPr>
        <sz val="11"/>
        <color rgb="FF000000"/>
        <rFont val="Arial"/>
        <family val="2"/>
        <charset val="186"/>
      </rPr>
      <t>(t) =</t>
    </r>
  </si>
  <si>
    <t>Source:</t>
  </si>
  <si>
    <r>
      <t xml:space="preserve">7. Istorinis taisyklių laikymasis
</t>
    </r>
    <r>
      <rPr>
        <b/>
        <i/>
        <sz val="11"/>
        <color theme="7" tint="-0.499984740745262"/>
        <rFont val="Arial"/>
        <family val="2"/>
        <charset val="186"/>
      </rPr>
      <t>Historical adherence to fiscal rules</t>
    </r>
    <r>
      <rPr>
        <b/>
        <sz val="11"/>
        <color theme="7" tint="-0.499984740745262"/>
        <rFont val="Arial"/>
        <family val="2"/>
        <charset val="186"/>
      </rPr>
      <t xml:space="preserve">
</t>
    </r>
  </si>
  <si>
    <r>
      <t xml:space="preserve">Taisyklė
</t>
    </r>
    <r>
      <rPr>
        <i/>
        <sz val="11"/>
        <color rgb="FF000000"/>
        <rFont val="Arial"/>
        <family val="2"/>
        <charset val="186"/>
      </rPr>
      <t>Rule</t>
    </r>
  </si>
  <si>
    <r>
      <t xml:space="preserve">Institucija
</t>
    </r>
    <r>
      <rPr>
        <i/>
        <sz val="10"/>
        <color rgb="FF000000"/>
        <rFont val="Arial"/>
        <family val="2"/>
        <charset val="186"/>
      </rPr>
      <t>Institution</t>
    </r>
  </si>
  <si>
    <t>ex-ante</t>
  </si>
  <si>
    <t>ex-post</t>
  </si>
  <si>
    <t>interim</t>
  </si>
  <si>
    <t xml:space="preserve">interim </t>
  </si>
  <si>
    <t xml:space="preserve">ex-post </t>
  </si>
  <si>
    <t xml:space="preserve">ex-ante </t>
  </si>
  <si>
    <t>Vertinimo data
Date of asessment</t>
  </si>
  <si>
    <t>2024-10-25</t>
  </si>
  <si>
    <t>Atotrūkis nuo potencialo, proc. pot. BVP</t>
  </si>
  <si>
    <t>Output gap (OG), % pot. GDP</t>
  </si>
  <si>
    <t>Perteklinio VS taisyklė</t>
  </si>
  <si>
    <t>–</t>
  </si>
  <si>
    <t>Surplus GG sector rule</t>
  </si>
  <si>
    <t>VS išlaidų augimo ribojimo taisyklė</t>
  </si>
  <si>
    <t>GG expenditure growth limiting rule</t>
  </si>
  <si>
    <t>taisyklės laikėsi</t>
  </si>
  <si>
    <t>the rule was adhered to</t>
  </si>
  <si>
    <t>taisyklės nesilaikė</t>
  </si>
  <si>
    <t>the rule was not adhered to</t>
  </si>
  <si>
    <t>taisyklė netaikoma</t>
  </si>
  <si>
    <t>the rule was not applicable</t>
  </si>
  <si>
    <t>nevertinama</t>
  </si>
  <si>
    <t>the rule is not assessed</t>
  </si>
  <si>
    <r>
      <t xml:space="preserve">Taisyklė
</t>
    </r>
    <r>
      <rPr>
        <b/>
        <i/>
        <sz val="11"/>
        <color theme="7" tint="-0.499984740745262"/>
        <rFont val="Arial"/>
        <family val="2"/>
        <charset val="186"/>
      </rPr>
      <t>Rule</t>
    </r>
  </si>
  <si>
    <r>
      <t xml:space="preserve">Išvada
</t>
    </r>
    <r>
      <rPr>
        <b/>
        <i/>
        <sz val="11"/>
        <color theme="7" tint="-0.499984740745262"/>
        <rFont val="Arial"/>
        <family val="2"/>
        <charset val="186"/>
      </rPr>
      <t>Conclusion</t>
    </r>
  </si>
  <si>
    <r>
      <t xml:space="preserve">Grynųjų išlaidų augimas turi neviršyti grynųjų išlaidų augimo ribų, nustatytų Europos Sąjungos Tarybos patvirtintame fiskaliniame struktūriniame plane (FSP).
</t>
    </r>
    <r>
      <rPr>
        <i/>
        <sz val="11"/>
        <color theme="1"/>
        <rFont val="Arial"/>
        <family val="2"/>
        <charset val="186"/>
      </rPr>
      <t>Net expenditure growth must not exceed the net expenditure growth limits set in the fiscal-structural plan (FSP) endorsed by the Council of the European Union.</t>
    </r>
  </si>
  <si>
    <t>Sukauptas grynųjų išlaidų nuokrypis laikomas nepažeidžiančiu ES taisyklių, jeigu jis neviršija 0,6 proc. BVP.</t>
  </si>
  <si>
    <t>Cumulative net expenditure deviation is considered to comply with EU rules provided that it does not exceed the 0.6 percent of GDP threshold.</t>
  </si>
  <si>
    <r>
      <t xml:space="preserve">Taisyklės vertinimas
</t>
    </r>
    <r>
      <rPr>
        <b/>
        <i/>
        <sz val="11"/>
        <color theme="7" tint="-0.499984740745262"/>
        <rFont val="Arial"/>
        <family val="2"/>
        <charset val="186"/>
      </rPr>
      <t>Assessment of rule</t>
    </r>
  </si>
  <si>
    <r>
      <t xml:space="preserve">Rodiklis
</t>
    </r>
    <r>
      <rPr>
        <i/>
        <sz val="11"/>
        <rFont val="Arial"/>
        <family val="2"/>
        <charset val="186"/>
      </rPr>
      <t>Indicator</t>
    </r>
  </si>
  <si>
    <r>
      <t xml:space="preserve">Žymėjimas | Formulė    
  </t>
    </r>
    <r>
      <rPr>
        <i/>
        <sz val="11"/>
        <rFont val="Arial"/>
        <family val="2"/>
        <charset val="186"/>
      </rPr>
      <t xml:space="preserve"> Notation | Formula</t>
    </r>
  </si>
  <si>
    <r>
      <t xml:space="preserve">Grynosios išlaidos, metinis augimas proc.
</t>
    </r>
    <r>
      <rPr>
        <i/>
        <sz val="11"/>
        <color rgb="FF000000"/>
        <rFont val="Arial"/>
        <family val="2"/>
        <charset val="186"/>
      </rPr>
      <t>Net expenditure, annual % change</t>
    </r>
  </si>
  <si>
    <r>
      <t>Δ%GI = ΔGI</t>
    </r>
    <r>
      <rPr>
        <vertAlign val="subscript"/>
        <sz val="11"/>
        <color theme="1"/>
        <rFont val="Arial"/>
        <family val="2"/>
        <charset val="186"/>
      </rPr>
      <t>DPP</t>
    </r>
    <r>
      <rPr>
        <sz val="11"/>
        <color theme="1"/>
        <rFont val="Arial"/>
        <family val="2"/>
        <charset val="186"/>
      </rPr>
      <t>/GI(T-1)</t>
    </r>
  </si>
  <si>
    <r>
      <t xml:space="preserve">FSP pateiktos ir Tarybos patvirtintos grynųjų išlaidų augimo ribos, metinis augimas proc.*
</t>
    </r>
    <r>
      <rPr>
        <i/>
        <sz val="11"/>
        <color rgb="FF000000"/>
        <rFont val="Arial"/>
        <family val="2"/>
        <charset val="186"/>
      </rPr>
      <t>Net expenditure growth limit submitted in the FSP and endorsed by the European Council, annual % change*</t>
    </r>
  </si>
  <si>
    <t>FSP</t>
  </si>
  <si>
    <r>
      <t xml:space="preserve">Metinis grynųjų išlaidų nuokrypis nuo FSP grynųjų išlaidų augimo ribų, mln. EUR
</t>
    </r>
    <r>
      <rPr>
        <i/>
        <sz val="11"/>
        <color rgb="FF000000"/>
        <rFont val="Arial"/>
        <family val="2"/>
        <charset val="186"/>
      </rPr>
      <t>Annual deviation of net expenditure from the FSP net expenditure growth limit, million EUR</t>
    </r>
  </si>
  <si>
    <t>MN = (Δ%GI-FSP)*GI</t>
  </si>
  <si>
    <r>
      <t xml:space="preserve">Sukauptas grynųjų išlaidų nuokrypis palyginti su FSP, mln. EUR
</t>
    </r>
    <r>
      <rPr>
        <i/>
        <sz val="11"/>
        <color rgb="FF000000"/>
        <rFont val="Arial"/>
        <family val="2"/>
        <charset val="186"/>
      </rPr>
      <t>Cumulative net expenditure deviation compared to the FSP, million EUR</t>
    </r>
  </si>
  <si>
    <t>SN(T) = SN(T-1)+MN(T)</t>
  </si>
  <si>
    <r>
      <t xml:space="preserve">Metinis grynųjų išlaidų nuokrypis nuo FSP grynųjų išlaidų augimo ribų, proc. BVP
</t>
    </r>
    <r>
      <rPr>
        <i/>
        <sz val="11"/>
        <color rgb="FF000000"/>
        <rFont val="Arial"/>
        <family val="2"/>
        <charset val="186"/>
      </rPr>
      <t>Annual deviation of net expenditure from the FSP net expenditure growth limit, % GDP</t>
    </r>
  </si>
  <si>
    <r>
      <t>MN</t>
    </r>
    <r>
      <rPr>
        <vertAlign val="subscript"/>
        <sz val="11"/>
        <color theme="1"/>
        <rFont val="Arial"/>
        <family val="2"/>
        <charset val="186"/>
      </rPr>
      <t>BVP</t>
    </r>
    <r>
      <rPr>
        <sz val="11"/>
        <color theme="1"/>
        <rFont val="Arial"/>
        <family val="2"/>
        <charset val="186"/>
      </rPr>
      <t xml:space="preserve"> = MN/YN</t>
    </r>
  </si>
  <si>
    <r>
      <t xml:space="preserve">Sukauptas grynųjų išlaidų nuokrypis palyginti su FSP, proc. BVP
</t>
    </r>
    <r>
      <rPr>
        <i/>
        <sz val="11"/>
        <color rgb="FF000000"/>
        <rFont val="Arial"/>
        <family val="2"/>
        <charset val="186"/>
      </rPr>
      <t>Cumulative net expenditure deviation compared to the FSP, % GDP</t>
    </r>
  </si>
  <si>
    <r>
      <t>SN</t>
    </r>
    <r>
      <rPr>
        <vertAlign val="subscript"/>
        <sz val="11"/>
        <color theme="1"/>
        <rFont val="Arial"/>
        <family val="2"/>
        <charset val="186"/>
      </rPr>
      <t>BVP</t>
    </r>
    <r>
      <rPr>
        <sz val="11"/>
        <color theme="1"/>
        <rFont val="Arial"/>
        <family val="2"/>
        <charset val="186"/>
      </rPr>
      <t xml:space="preserve"> = SN/YN</t>
    </r>
  </si>
  <si>
    <r>
      <t xml:space="preserve">Gynybos išlaidos (COFOG.02), proc. BVP
</t>
    </r>
    <r>
      <rPr>
        <i/>
        <sz val="11"/>
        <color rgb="FF000000"/>
        <rFont val="Arial"/>
        <family val="2"/>
        <charset val="186"/>
      </rPr>
      <t>Defence expenditure (COFOG.02), % GDP</t>
    </r>
  </si>
  <si>
    <r>
      <t>GYN</t>
    </r>
    <r>
      <rPr>
        <vertAlign val="subscript"/>
        <sz val="11"/>
        <color theme="1"/>
        <rFont val="Arial"/>
        <family val="2"/>
        <charset val="186"/>
      </rPr>
      <t>BVP</t>
    </r>
  </si>
  <si>
    <r>
      <t xml:space="preserve">Lankstumas dėl išlygos gynybos išlaidoms, proc. BVP**
</t>
    </r>
    <r>
      <rPr>
        <i/>
        <sz val="11"/>
        <color rgb="FF000000"/>
        <rFont val="Arial"/>
        <family val="2"/>
        <charset val="186"/>
      </rPr>
      <t>Flexibility due to escape clause for defence expenditure, % GDP**</t>
    </r>
  </si>
  <si>
    <t>LGYN</t>
  </si>
  <si>
    <r>
      <t xml:space="preserve">Sukauptas grynųjų išlaidų nuokrypis palyginti su FSP, įvertinus lankstumą dėl išlygos gynybos išlaidoms, proc. BVP
</t>
    </r>
    <r>
      <rPr>
        <i/>
        <sz val="11"/>
        <color rgb="FF000000"/>
        <rFont val="Arial"/>
        <family val="2"/>
        <charset val="186"/>
      </rPr>
      <t>Cumulative net expenditure deviation compared to the FSP and taking into account the escape clause for defence expenditure, % GDP</t>
    </r>
  </si>
  <si>
    <r>
      <t>SN</t>
    </r>
    <r>
      <rPr>
        <vertAlign val="subscript"/>
        <sz val="11"/>
        <color theme="1"/>
        <rFont val="Arial"/>
        <family val="2"/>
        <charset val="186"/>
      </rPr>
      <t>LGYN</t>
    </r>
    <r>
      <rPr>
        <sz val="11"/>
        <color theme="1"/>
        <rFont val="Arial"/>
        <family val="2"/>
        <charset val="186"/>
      </rPr>
      <t>=SN</t>
    </r>
    <r>
      <rPr>
        <vertAlign val="subscript"/>
        <sz val="11"/>
        <color theme="1"/>
        <rFont val="Arial"/>
        <family val="2"/>
        <charset val="186"/>
      </rPr>
      <t>BVP</t>
    </r>
    <r>
      <rPr>
        <sz val="11"/>
        <color theme="1"/>
        <rFont val="Arial"/>
        <family val="2"/>
        <charset val="186"/>
      </rPr>
      <t>-LGYN</t>
    </r>
  </si>
  <si>
    <r>
      <t xml:space="preserve">Duomenys
</t>
    </r>
    <r>
      <rPr>
        <b/>
        <i/>
        <sz val="11"/>
        <color theme="7" tint="-0.499984740745262"/>
        <rFont val="Arial"/>
        <family val="2"/>
        <charset val="186"/>
      </rPr>
      <t>Data</t>
    </r>
  </si>
  <si>
    <r>
      <rPr>
        <sz val="11"/>
        <rFont val="Arial"/>
        <family val="2"/>
        <charset val="186"/>
      </rPr>
      <t xml:space="preserve">Rodiklis
</t>
    </r>
    <r>
      <rPr>
        <i/>
        <sz val="11"/>
        <rFont val="Arial"/>
        <family val="2"/>
        <charset val="186"/>
      </rPr>
      <t>Indicator</t>
    </r>
  </si>
  <si>
    <r>
      <t xml:space="preserve">Visos išlaidos, mln. EUR
</t>
    </r>
    <r>
      <rPr>
        <i/>
        <sz val="11"/>
        <color rgb="FF000000"/>
        <rFont val="Arial"/>
        <family val="2"/>
        <charset val="186"/>
      </rPr>
      <t>Total expenditure</t>
    </r>
    <r>
      <rPr>
        <sz val="11"/>
        <color rgb="FF000000"/>
        <rFont val="Arial"/>
        <family val="2"/>
        <charset val="186"/>
      </rPr>
      <t xml:space="preserve">, </t>
    </r>
    <r>
      <rPr>
        <i/>
        <sz val="11"/>
        <color rgb="FF000000"/>
        <rFont val="Arial"/>
        <family val="2"/>
        <charset val="186"/>
      </rPr>
      <t>million EUR</t>
    </r>
  </si>
  <si>
    <r>
      <t xml:space="preserve">Palūkanų išlaidos, mln. EUR
</t>
    </r>
    <r>
      <rPr>
        <i/>
        <sz val="11"/>
        <color rgb="FF000000"/>
        <rFont val="Arial"/>
        <family val="2"/>
        <charset val="186"/>
      </rPr>
      <t>Interest expenditure</t>
    </r>
    <r>
      <rPr>
        <sz val="11"/>
        <color rgb="FF000000"/>
        <rFont val="Arial"/>
        <family val="2"/>
        <charset val="186"/>
      </rPr>
      <t xml:space="preserve">, </t>
    </r>
    <r>
      <rPr>
        <i/>
        <sz val="11"/>
        <color rgb="FF000000"/>
        <rFont val="Arial"/>
        <family val="2"/>
        <charset val="186"/>
      </rPr>
      <t>million EUR</t>
    </r>
  </si>
  <si>
    <t>PI</t>
  </si>
  <si>
    <r>
      <t xml:space="preserve">Bedarbiai, tūkst. EUR
</t>
    </r>
    <r>
      <rPr>
        <i/>
        <sz val="11"/>
        <color theme="1"/>
        <rFont val="Arial"/>
        <family val="2"/>
        <charset val="186"/>
      </rPr>
      <t>Unemployed</t>
    </r>
    <r>
      <rPr>
        <sz val="11"/>
        <color rgb="FF000000"/>
        <rFont val="Arial"/>
        <family val="2"/>
        <charset val="186"/>
      </rPr>
      <t>,</t>
    </r>
    <r>
      <rPr>
        <i/>
        <sz val="11"/>
        <color rgb="FF000000"/>
        <rFont val="Arial"/>
        <family val="2"/>
        <charset val="186"/>
      </rPr>
      <t xml:space="preserve"> thousand EUR</t>
    </r>
  </si>
  <si>
    <t>BE</t>
  </si>
  <si>
    <r>
      <t xml:space="preserve">Nedarbo išlaidos (COFOG.10.5), mln. EUR
</t>
    </r>
    <r>
      <rPr>
        <i/>
        <sz val="11"/>
        <color rgb="FF000000"/>
        <rFont val="Arial"/>
        <family val="2"/>
        <charset val="186"/>
      </rPr>
      <t>Unemployment expenditure (COFOG.10.5), million EUR</t>
    </r>
  </si>
  <si>
    <t>NI</t>
  </si>
  <si>
    <r>
      <t xml:space="preserve">Nedarbo išlaidos, tenkančios 1000 bedarbių, mln. EUR
</t>
    </r>
    <r>
      <rPr>
        <i/>
        <sz val="11"/>
        <color rgb="FF000000"/>
        <rFont val="Arial"/>
        <family val="2"/>
        <charset val="186"/>
      </rPr>
      <t>Unemployment expenditure per 1000 unemployed</t>
    </r>
    <r>
      <rPr>
        <sz val="11"/>
        <color rgb="FF000000"/>
        <rFont val="Arial"/>
        <family val="2"/>
        <charset val="186"/>
      </rPr>
      <t xml:space="preserve">, </t>
    </r>
    <r>
      <rPr>
        <i/>
        <sz val="11"/>
        <color rgb="FF000000"/>
        <rFont val="Arial"/>
        <family val="2"/>
        <charset val="186"/>
      </rPr>
      <t>million EUR</t>
    </r>
  </si>
  <si>
    <t>N = NI/BE</t>
  </si>
  <si>
    <r>
      <t xml:space="preserve">Nedarbo išlaidos (COFOG.10.5) ekstrapoliuotos, mln. EUR
</t>
    </r>
    <r>
      <rPr>
        <i/>
        <sz val="11"/>
        <color rgb="FF000000"/>
        <rFont val="Arial"/>
        <family val="2"/>
        <charset val="186"/>
      </rPr>
      <t>Unemployment expenditure (COFOG.10.5) extrapolated, million EUR</t>
    </r>
  </si>
  <si>
    <r>
      <t>N</t>
    </r>
    <r>
      <rPr>
        <vertAlign val="subscript"/>
        <sz val="11"/>
        <color theme="1"/>
        <rFont val="Arial"/>
        <family val="2"/>
        <charset val="186"/>
      </rPr>
      <t xml:space="preserve">eks </t>
    </r>
    <r>
      <rPr>
        <sz val="11"/>
        <color theme="1"/>
        <rFont val="Arial"/>
        <family val="2"/>
        <charset val="186"/>
      </rPr>
      <t>= N * BE</t>
    </r>
  </si>
  <si>
    <r>
      <t xml:space="preserve">Nedarbo lygis, proc.
</t>
    </r>
    <r>
      <rPr>
        <i/>
        <sz val="11"/>
        <color rgb="FF000000"/>
        <rFont val="Arial"/>
        <family val="2"/>
        <charset val="186"/>
      </rPr>
      <t>Unemployment rate</t>
    </r>
    <r>
      <rPr>
        <sz val="11"/>
        <color rgb="FF000000"/>
        <rFont val="Arial"/>
        <family val="2"/>
        <charset val="186"/>
      </rPr>
      <t xml:space="preserve">, </t>
    </r>
    <r>
      <rPr>
        <i/>
        <sz val="11"/>
        <color rgb="FF000000"/>
        <rFont val="Arial"/>
        <family val="2"/>
        <charset val="186"/>
      </rPr>
      <t>%</t>
    </r>
  </si>
  <si>
    <t>NL</t>
  </si>
  <si>
    <r>
      <t xml:space="preserve">NAWRU, proc.
</t>
    </r>
    <r>
      <rPr>
        <i/>
        <sz val="11"/>
        <color rgb="FF000000"/>
        <rFont val="Arial"/>
        <family val="2"/>
        <charset val="186"/>
      </rPr>
      <t>NAWRU</t>
    </r>
    <r>
      <rPr>
        <sz val="11"/>
        <color rgb="FF000000"/>
        <rFont val="Arial"/>
        <family val="2"/>
        <charset val="186"/>
      </rPr>
      <t xml:space="preserve">, </t>
    </r>
    <r>
      <rPr>
        <i/>
        <sz val="11"/>
        <color rgb="FF000000"/>
        <rFont val="Arial"/>
        <family val="2"/>
        <charset val="186"/>
      </rPr>
      <t>%</t>
    </r>
  </si>
  <si>
    <t>NAWRU</t>
  </si>
  <si>
    <r>
      <t xml:space="preserve">Ciklinės nedarbo išlaidos, mln. EUR
</t>
    </r>
    <r>
      <rPr>
        <i/>
        <sz val="11"/>
        <color rgb="FF000000"/>
        <rFont val="Arial"/>
        <family val="2"/>
        <charset val="186"/>
      </rPr>
      <t>Cyclical unemployment expenditure, million EUR</t>
    </r>
  </si>
  <si>
    <r>
      <t>CNI = N</t>
    </r>
    <r>
      <rPr>
        <vertAlign val="subscript"/>
        <sz val="11"/>
        <color theme="1"/>
        <rFont val="Arial"/>
        <family val="2"/>
        <charset val="186"/>
      </rPr>
      <t xml:space="preserve">eks </t>
    </r>
    <r>
      <rPr>
        <sz val="11"/>
        <color theme="1"/>
        <rFont val="Arial"/>
        <family val="2"/>
        <charset val="186"/>
      </rPr>
      <t>* (NL-NAWRU)/NL</t>
    </r>
  </si>
  <si>
    <r>
      <t xml:space="preserve">Pervedimais iš ES finansuojamos išlaidos, mln. EUR
</t>
    </r>
    <r>
      <rPr>
        <i/>
        <sz val="11"/>
        <color rgb="FF000000"/>
        <rFont val="Arial"/>
        <family val="2"/>
        <charset val="186"/>
      </rPr>
      <t>Expenditure funded by transfers from the EU, million EUR</t>
    </r>
  </si>
  <si>
    <t>ES</t>
  </si>
  <si>
    <r>
      <t xml:space="preserve">ES programų bendrojo finansavimo išlaidos finansuojamos nacionalinėmis lėšomis, mln. EUR
</t>
    </r>
    <r>
      <rPr>
        <i/>
        <sz val="11"/>
        <color rgb="FF000000"/>
        <rFont val="Arial"/>
        <family val="2"/>
        <charset val="186"/>
      </rPr>
      <t>National co-financing of EU programmes, million EUR</t>
    </r>
  </si>
  <si>
    <t>KOF</t>
  </si>
  <si>
    <r>
      <t xml:space="preserve">Vienkartinės išlaidos (lygiai, išskyrus ES finansuojamas priemones), mln. EUR
</t>
    </r>
    <r>
      <rPr>
        <i/>
        <sz val="11"/>
        <color rgb="FF000000"/>
        <rFont val="Arial"/>
        <family val="2"/>
        <charset val="186"/>
      </rPr>
      <t>One-off expenditure (levels, excl. EU funded), million EUR</t>
    </r>
  </si>
  <si>
    <r>
      <t xml:space="preserve">Grynosios nacionalinėmis lėšomis finansuojamos pirminės išlaidos (iki diskrecinių pajamų priemonių), mln. EUR
</t>
    </r>
    <r>
      <rPr>
        <i/>
        <sz val="11"/>
        <color rgb="FF000000"/>
        <rFont val="Arial"/>
        <family val="2"/>
        <charset val="186"/>
      </rPr>
      <t>Net nationally financed primary expenditure (before discretionary revenue measures), million EUR</t>
    </r>
  </si>
  <si>
    <t>GI = VI - PI - CNI - ES - KOF - 1klp</t>
  </si>
  <si>
    <r>
      <t xml:space="preserve">Grynųjų nacionalinėmis lėšomis finansuojamų pirminių išlaidų skirtumas (iki diskrecinių pajamų priemonių), mln. EUR
</t>
    </r>
    <r>
      <rPr>
        <i/>
        <sz val="11"/>
        <color rgb="FF000000"/>
        <rFont val="Arial"/>
        <family val="2"/>
        <charset val="186"/>
      </rPr>
      <t>Change in net nationally financed primary expenditure (before discretionary revenue measures), million EUR</t>
    </r>
  </si>
  <si>
    <t>ΔGI(T) = GI(T)-GI(T-1)</t>
  </si>
  <si>
    <r>
      <t xml:space="preserve">Diskrecinės pajamų priemonės (neįskaitant vienkartinių pajamų priemonių, prieaugis), mln. EUR
</t>
    </r>
    <r>
      <rPr>
        <i/>
        <sz val="11"/>
        <color rgb="FF000000"/>
        <rFont val="Arial"/>
        <family val="2"/>
        <charset val="186"/>
      </rPr>
      <t>Discretionary revenue measures (excl. one-off revenue, incremental impact), million EUR</t>
    </r>
  </si>
  <si>
    <t>DPP</t>
  </si>
  <si>
    <r>
      <t xml:space="preserve">Grynųjų nacionalinėmis lėšomis finansuojamų pirminių išlaidų skirtumas (įvertinus diskrecines pajamų priemones), mln. EUR
</t>
    </r>
    <r>
      <rPr>
        <i/>
        <sz val="11"/>
        <color rgb="FF000000"/>
        <rFont val="Arial"/>
        <family val="2"/>
        <charset val="186"/>
      </rPr>
      <t>Change in net nationally financed primary expenditure (after discretionary revenue measures), million EUR</t>
    </r>
  </si>
  <si>
    <r>
      <t>ΔGI</t>
    </r>
    <r>
      <rPr>
        <vertAlign val="subscript"/>
        <sz val="11"/>
        <color theme="1"/>
        <rFont val="Arial"/>
        <family val="2"/>
        <charset val="186"/>
      </rPr>
      <t>DPP</t>
    </r>
    <r>
      <rPr>
        <sz val="11"/>
        <color theme="1"/>
        <rFont val="Arial"/>
        <family val="2"/>
        <charset val="186"/>
      </rPr>
      <t>=ΔGI(T)-DPP</t>
    </r>
  </si>
  <si>
    <r>
      <t xml:space="preserve">Nominalus BVP, mln. EUR
</t>
    </r>
    <r>
      <rPr>
        <i/>
        <sz val="11"/>
        <color rgb="FF000000"/>
        <rFont val="Arial"/>
        <family val="2"/>
        <charset val="186"/>
      </rPr>
      <t>Nominal GDP</t>
    </r>
    <r>
      <rPr>
        <sz val="11"/>
        <color rgb="FF000000"/>
        <rFont val="Arial"/>
        <family val="2"/>
        <charset val="186"/>
      </rPr>
      <t>, million EUR</t>
    </r>
  </si>
  <si>
    <r>
      <t xml:space="preserve">Išlaidos gynybai (COFOG.02), mln. EUR
</t>
    </r>
    <r>
      <rPr>
        <i/>
        <sz val="11"/>
        <color rgb="FF000000"/>
        <rFont val="Arial"/>
        <family val="2"/>
        <charset val="186"/>
      </rPr>
      <t>Defence expenditure (COFOG.02), million EUR</t>
    </r>
  </si>
  <si>
    <t>GYN</t>
  </si>
  <si>
    <t>Eurostatas, Valstybės duomenų agentūra</t>
  </si>
  <si>
    <t>Eurostat, State Data Agency</t>
  </si>
  <si>
    <t>Ministry of Finance (MoF)</t>
  </si>
  <si>
    <t>Fiskalinis struktūrinis planas</t>
  </si>
  <si>
    <t>Fiscal structural plan</t>
  </si>
  <si>
    <t xml:space="preserve">*Tarybos rekomendacija, kuria pritariama Lietuvos nacionaliniam vidutinės trukmės laikotarpio fiskaliniam struktūriniam planui. </t>
  </si>
  <si>
    <t>*Council recommendation endorsing the national medium-term fiscal-structural plan of Lithuania</t>
  </si>
  <si>
    <t>**Tarybos rekomendacija, kuria Lietuvai leidžiama nukrypti nuo Tarybos pagal Reglamentą (ES) 2024/1263 nustatyto didžiausio grynųjų išlaidų augimo tempo</t>
  </si>
  <si>
    <t>**Council recommendation allowing Lithuania to deviate from the maximum growth rates of net expenditure as set by the Council under Regulation (EU) 2024/1263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</si>
</sst>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 \–0.0"/>
    <numFmt numFmtId="165" formatCode="yyyy\-mm\-dd;@"/>
    <numFmt numFmtId="166" formatCode="0.0"/>
    <numFmt numFmtId="167" formatCode="0.00;\ \–0.00"/>
    <numFmt numFmtId="168" formatCode="0.000;\ \–0.000"/>
    <numFmt numFmtId="169" formatCode="0.000"/>
    <numFmt numFmtId="170" formatCode="#,##0.0"/>
    <numFmt numFmtId="171" formatCode="0\,0;\–0\,0"/>
    <numFmt numFmtId="172" formatCode="0.00000"/>
    <numFmt numFmtId="173" formatCode="0.0;\–0.0"/>
    <numFmt numFmtId="174" formatCode="0;\ \–0"/>
    <numFmt numFmtId="175" formatCode="#,##0.##########"/>
  </numFmts>
  <fonts count="71">
    <font>
      <sz val="11"/>
      <color theme="1"/>
      <name val="Calibri"/>
      <family val="2"/>
      <charset val="186"/>
      <scheme val="minor"/>
    </font>
    <font>
      <sz val="11"/>
      <color theme="1"/>
      <name val="Calibri"/>
      <family val="2"/>
      <charset val="186"/>
      <scheme val="minor"/>
    </font>
    <font>
      <u/>
      <sz val="11"/>
      <color theme="10"/>
      <name val="Calibri"/>
      <family val="2"/>
      <charset val="186"/>
      <scheme val="minor"/>
    </font>
    <font>
      <sz val="11"/>
      <color rgb="FF000000"/>
      <name val="Arial"/>
      <family val="2"/>
      <charset val="186"/>
    </font>
    <font>
      <u/>
      <sz val="11"/>
      <color rgb="FF00244D"/>
      <name val="Arial"/>
      <family val="2"/>
      <charset val="186"/>
    </font>
    <font>
      <sz val="11"/>
      <color rgb="FFFFFFFF"/>
      <name val="Arial"/>
      <family val="2"/>
      <charset val="186"/>
    </font>
    <font>
      <b/>
      <sz val="11"/>
      <color rgb="FF00244D"/>
      <name val="Arial"/>
      <family val="2"/>
      <charset val="186"/>
    </font>
    <font>
      <b/>
      <sz val="11"/>
      <name val="Arial"/>
      <family val="2"/>
      <charset val="186"/>
    </font>
    <font>
      <sz val="11"/>
      <name val="Arial"/>
      <family val="2"/>
      <charset val="186"/>
    </font>
    <font>
      <sz val="10"/>
      <name val="Arial"/>
      <family val="2"/>
      <charset val="186"/>
    </font>
    <font>
      <sz val="10"/>
      <name val="Arial"/>
      <family val="2"/>
    </font>
    <font>
      <b/>
      <sz val="9"/>
      <color indexed="81"/>
      <name val="Tahoma"/>
      <family val="2"/>
      <charset val="186"/>
    </font>
    <font>
      <sz val="9"/>
      <color indexed="81"/>
      <name val="Tahoma"/>
      <family val="2"/>
      <charset val="186"/>
    </font>
    <font>
      <sz val="11"/>
      <color rgb="FF00244D"/>
      <name val="Arial"/>
      <family val="2"/>
      <charset val="186"/>
    </font>
    <font>
      <b/>
      <sz val="11"/>
      <color rgb="FF8D8473"/>
      <name val="Arial"/>
      <family val="2"/>
      <charset val="186"/>
    </font>
    <font>
      <vertAlign val="subscript"/>
      <sz val="11"/>
      <name val="Arial"/>
      <family val="2"/>
      <charset val="186"/>
    </font>
    <font>
      <sz val="11"/>
      <color rgb="FFFF0000"/>
      <name val="Arial"/>
      <family val="2"/>
      <charset val="186"/>
    </font>
    <font>
      <vertAlign val="subscript"/>
      <sz val="11"/>
      <color rgb="FF000000"/>
      <name val="Arial"/>
      <family val="2"/>
      <charset val="186"/>
    </font>
    <font>
      <sz val="10"/>
      <color rgb="FF8D8473"/>
      <name val="Arial"/>
      <family val="2"/>
      <charset val="186"/>
    </font>
    <font>
      <b/>
      <sz val="11"/>
      <color rgb="FF000000"/>
      <name val="Arial"/>
      <family val="2"/>
      <charset val="186"/>
    </font>
    <font>
      <b/>
      <sz val="9"/>
      <name val="Arial"/>
      <family val="2"/>
      <charset val="186"/>
    </font>
    <font>
      <sz val="8"/>
      <color rgb="FFFF0000"/>
      <name val="Arial"/>
      <family val="2"/>
      <charset val="186"/>
    </font>
    <font>
      <sz val="11"/>
      <color rgb="FF000000"/>
      <name val="Calibri"/>
      <family val="2"/>
      <charset val="186"/>
    </font>
    <font>
      <sz val="10"/>
      <color rgb="FF00244D"/>
      <name val="Arial"/>
      <family val="2"/>
      <charset val="186"/>
    </font>
    <font>
      <sz val="11"/>
      <name val="Calibri Light"/>
      <family val="2"/>
      <charset val="186"/>
      <scheme val="major"/>
    </font>
    <font>
      <i/>
      <sz val="11"/>
      <color rgb="FF000000"/>
      <name val="Arial"/>
      <family val="2"/>
      <charset val="186"/>
    </font>
    <font>
      <i/>
      <sz val="11"/>
      <name val="Arial"/>
      <family val="2"/>
      <charset val="186"/>
    </font>
    <font>
      <i/>
      <sz val="10"/>
      <color rgb="FF00244D"/>
      <name val="Arial"/>
      <family val="2"/>
      <charset val="186"/>
    </font>
    <font>
      <b/>
      <i/>
      <sz val="11"/>
      <color rgb="FF000000"/>
      <name val="Arial"/>
      <family val="2"/>
      <charset val="186"/>
    </font>
    <font>
      <sz val="11"/>
      <color theme="0"/>
      <name val="Calibri Light"/>
      <family val="2"/>
      <charset val="186"/>
      <scheme val="major"/>
    </font>
    <font>
      <sz val="11"/>
      <color theme="0"/>
      <name val="Arial"/>
      <family val="2"/>
      <charset val="186"/>
    </font>
    <font>
      <sz val="11"/>
      <color theme="1"/>
      <name val="Arial"/>
      <family val="2"/>
      <charset val="186"/>
    </font>
    <font>
      <u/>
      <sz val="11"/>
      <color theme="10"/>
      <name val="Arial"/>
      <family val="2"/>
      <charset val="186"/>
    </font>
    <font>
      <sz val="11"/>
      <color theme="7" tint="-0.499984740745262"/>
      <name val="Arial"/>
      <family val="2"/>
      <charset val="186"/>
    </font>
    <font>
      <sz val="12"/>
      <color theme="7" tint="-0.499984740745262"/>
      <name val="Arial"/>
      <family val="2"/>
      <charset val="186"/>
    </font>
    <font>
      <sz val="14"/>
      <color theme="7" tint="-0.499984740745262"/>
      <name val="Arial"/>
      <family val="2"/>
      <charset val="186"/>
    </font>
    <font>
      <i/>
      <sz val="11"/>
      <color theme="7" tint="-0.499984740745262"/>
      <name val="Arial"/>
      <family val="2"/>
      <charset val="186"/>
    </font>
    <font>
      <i/>
      <sz val="12"/>
      <color theme="7" tint="-0.499984740745262"/>
      <name val="Arial"/>
      <family val="2"/>
      <charset val="186"/>
    </font>
    <font>
      <u/>
      <sz val="11"/>
      <color theme="7" tint="-0.499984740745262"/>
      <name val="Arial"/>
      <family val="2"/>
      <charset val="186"/>
    </font>
    <font>
      <i/>
      <u/>
      <sz val="11"/>
      <color theme="7" tint="-0.499984740745262"/>
      <name val="Arial"/>
      <family val="2"/>
      <charset val="186"/>
    </font>
    <font>
      <b/>
      <sz val="11"/>
      <color theme="7" tint="-0.499984740745262"/>
      <name val="Arial"/>
      <family val="2"/>
      <charset val="186"/>
    </font>
    <font>
      <b/>
      <i/>
      <sz val="11"/>
      <color theme="7" tint="-0.499984740745262"/>
      <name val="Arial"/>
      <family val="2"/>
      <charset val="186"/>
    </font>
    <font>
      <b/>
      <vertAlign val="subscript"/>
      <sz val="11"/>
      <color theme="7" tint="-0.499984740745262"/>
      <name val="Arial"/>
      <family val="2"/>
      <charset val="186"/>
    </font>
    <font>
      <sz val="10"/>
      <color theme="7" tint="-0.499984740745262"/>
      <name val="Arial"/>
      <family val="2"/>
      <charset val="186"/>
    </font>
    <font>
      <i/>
      <sz val="10"/>
      <color theme="7" tint="-0.499984740745262"/>
      <name val="Arial"/>
      <family val="2"/>
      <charset val="186"/>
    </font>
    <font>
      <vertAlign val="subscript"/>
      <sz val="11"/>
      <color theme="7" tint="-0.499984740745262"/>
      <name val="Arial"/>
      <family val="2"/>
      <charset val="186"/>
    </font>
    <font>
      <sz val="11"/>
      <color rgb="FF000000"/>
      <name val="Arial"/>
      <family val="2"/>
    </font>
    <font>
      <i/>
      <sz val="11"/>
      <color rgb="FF000000"/>
      <name val="Arial"/>
      <family val="2"/>
    </font>
    <font>
      <sz val="11"/>
      <name val="Arial"/>
      <family val="2"/>
    </font>
    <font>
      <i/>
      <sz val="11"/>
      <name val="Arial"/>
      <family val="2"/>
    </font>
    <font>
      <sz val="11"/>
      <color indexed="8"/>
      <name val="Calibri"/>
      <family val="2"/>
      <scheme val="minor"/>
    </font>
    <font>
      <sz val="9"/>
      <name val="Arial"/>
      <family val="2"/>
      <charset val="186"/>
    </font>
    <font>
      <sz val="12"/>
      <name val="Times New Roman"/>
      <family val="1"/>
      <charset val="186"/>
    </font>
    <font>
      <sz val="11"/>
      <color indexed="8"/>
      <name val="Calibri"/>
      <family val="2"/>
      <charset val="134"/>
    </font>
    <font>
      <sz val="10"/>
      <color rgb="FF000000"/>
      <name val="Arial"/>
      <family val="2"/>
      <charset val="186"/>
    </font>
    <font>
      <i/>
      <sz val="10"/>
      <color rgb="FF000000"/>
      <name val="Arial"/>
      <family val="2"/>
      <charset val="186"/>
    </font>
    <font>
      <i/>
      <sz val="9"/>
      <color rgb="FFFF0000"/>
      <name val="Arial"/>
      <family val="2"/>
      <charset val="186"/>
    </font>
    <font>
      <sz val="9"/>
      <color rgb="FF000000"/>
      <name val="Arial"/>
      <family val="2"/>
      <charset val="186"/>
    </font>
    <font>
      <b/>
      <sz val="10"/>
      <color theme="7" tint="-0.499984740745262"/>
      <name val="Arial"/>
      <family val="2"/>
      <charset val="186"/>
    </font>
    <font>
      <b/>
      <i/>
      <sz val="10"/>
      <color theme="7" tint="-0.499984740745262"/>
      <name val="Arial"/>
      <family val="2"/>
      <charset val="186"/>
    </font>
    <font>
      <sz val="11"/>
      <color rgb="FFC9D6D9"/>
      <name val="Arial"/>
      <family val="2"/>
      <charset val="186"/>
    </font>
    <font>
      <i/>
      <sz val="10"/>
      <color theme="9" tint="-0.499984740745262"/>
      <name val="Arial"/>
      <family val="2"/>
      <charset val="186"/>
    </font>
    <font>
      <sz val="11"/>
      <color theme="2" tint="-0.499984740745262"/>
      <name val="Arial"/>
      <family val="2"/>
      <charset val="186"/>
    </font>
    <font>
      <sz val="10"/>
      <name val="HelveticaLT"/>
      <charset val="186"/>
    </font>
    <font>
      <sz val="8"/>
      <name val="Calibri"/>
      <family val="2"/>
      <charset val="186"/>
      <scheme val="minor"/>
    </font>
    <font>
      <i/>
      <sz val="11"/>
      <color theme="1"/>
      <name val="Arial"/>
      <family val="2"/>
      <charset val="186"/>
    </font>
    <font>
      <vertAlign val="subscript"/>
      <sz val="11"/>
      <color theme="1"/>
      <name val="Arial"/>
      <family val="2"/>
      <charset val="186"/>
    </font>
    <font>
      <sz val="9"/>
      <color theme="1"/>
      <name val="Arial"/>
      <family val="2"/>
      <charset val="186"/>
    </font>
    <font>
      <i/>
      <sz val="9"/>
      <color theme="1"/>
      <name val="Arial"/>
      <family val="2"/>
      <charset val="186"/>
    </font>
    <font>
      <i/>
      <u/>
      <sz val="11"/>
      <color theme="10"/>
      <name val="Arial"/>
      <family val="2"/>
      <charset val="186"/>
    </font>
    <font>
      <b/>
      <i/>
      <sz val="11"/>
      <name val="Arial"/>
      <family val="2"/>
      <charset val="186"/>
    </font>
  </fonts>
  <fills count="19">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tint="0.79998168889431442"/>
        <bgColor rgb="FF000000"/>
      </patternFill>
    </fill>
    <fill>
      <patternFill patternType="solid">
        <fgColor theme="7" tint="0.59999389629810485"/>
        <bgColor rgb="FF000000"/>
      </patternFill>
    </fill>
    <fill>
      <patternFill patternType="solid">
        <fgColor theme="9" tint="0.39997558519241921"/>
        <bgColor rgb="FF000000"/>
      </patternFill>
    </fill>
    <fill>
      <patternFill patternType="solid">
        <fgColor theme="7" tint="0.59999389629810485"/>
        <bgColor indexed="64"/>
      </patternFill>
    </fill>
    <fill>
      <patternFill patternType="solid">
        <fgColor theme="2" tint="0.39997558519241921"/>
        <bgColor rgb="FF000000"/>
      </patternFill>
    </fill>
    <fill>
      <patternFill patternType="solid">
        <fgColor theme="9" tint="-0.249977111117893"/>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2" tint="0.39997558519241921"/>
        <bgColor indexed="64"/>
      </patternFill>
    </fill>
    <fill>
      <patternFill patternType="solid">
        <fgColor theme="0"/>
        <bgColor rgb="FF000000"/>
      </patternFill>
    </fill>
    <fill>
      <patternFill patternType="solid">
        <fgColor theme="8" tint="0.39997558519241921"/>
        <bgColor rgb="FF000000"/>
      </patternFill>
    </fill>
    <fill>
      <patternFill patternType="solid">
        <fgColor theme="8" tint="0.39997558519241921"/>
        <bgColor indexed="64"/>
      </patternFill>
    </fill>
  </fills>
  <borders count="97">
    <border>
      <left/>
      <right/>
      <top/>
      <bottom/>
      <diagonal/>
    </border>
    <border>
      <left/>
      <right/>
      <top style="medium">
        <color rgb="FF00244D"/>
      </top>
      <bottom/>
      <diagonal/>
    </border>
    <border>
      <left style="medium">
        <color rgb="FF00244D"/>
      </left>
      <right/>
      <top/>
      <bottom/>
      <diagonal/>
    </border>
    <border>
      <left/>
      <right style="medium">
        <color rgb="FF00244D"/>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244D"/>
      </left>
      <right style="medium">
        <color rgb="FF00244D"/>
      </right>
      <top/>
      <bottom/>
      <diagonal/>
    </border>
    <border>
      <left/>
      <right/>
      <top/>
      <bottom style="thin">
        <color rgb="FF00244D"/>
      </bottom>
      <diagonal/>
    </border>
    <border>
      <left style="medium">
        <color theme="7"/>
      </left>
      <right style="medium">
        <color theme="7"/>
      </right>
      <top style="medium">
        <color theme="7"/>
      </top>
      <bottom style="medium">
        <color theme="7"/>
      </bottom>
      <diagonal/>
    </border>
    <border>
      <left style="medium">
        <color theme="7"/>
      </left>
      <right/>
      <top style="medium">
        <color theme="7"/>
      </top>
      <bottom style="medium">
        <color rgb="FF00244D"/>
      </bottom>
      <diagonal/>
    </border>
    <border>
      <left/>
      <right/>
      <top style="medium">
        <color theme="7"/>
      </top>
      <bottom style="medium">
        <color rgb="FF00244D"/>
      </bottom>
      <diagonal/>
    </border>
    <border>
      <left/>
      <right style="medium">
        <color theme="7"/>
      </right>
      <top style="medium">
        <color theme="7"/>
      </top>
      <bottom style="medium">
        <color rgb="FF00244D"/>
      </bottom>
      <diagonal/>
    </border>
    <border>
      <left style="medium">
        <color theme="7"/>
      </left>
      <right/>
      <top style="medium">
        <color rgb="FF00244D"/>
      </top>
      <bottom/>
      <diagonal/>
    </border>
    <border>
      <left/>
      <right style="medium">
        <color theme="7"/>
      </right>
      <top style="medium">
        <color rgb="FF00244D"/>
      </top>
      <bottom/>
      <diagonal/>
    </border>
    <border>
      <left style="medium">
        <color theme="7"/>
      </left>
      <right/>
      <top/>
      <bottom/>
      <diagonal/>
    </border>
    <border>
      <left/>
      <right style="medium">
        <color theme="7"/>
      </right>
      <top/>
      <bottom/>
      <diagonal/>
    </border>
    <border>
      <left style="medium">
        <color theme="7"/>
      </left>
      <right/>
      <top/>
      <bottom style="medium">
        <color theme="7"/>
      </bottom>
      <diagonal/>
    </border>
    <border>
      <left/>
      <right/>
      <top/>
      <bottom style="medium">
        <color theme="7"/>
      </bottom>
      <diagonal/>
    </border>
    <border>
      <left/>
      <right style="medium">
        <color theme="7"/>
      </right>
      <top/>
      <bottom style="medium">
        <color theme="7"/>
      </bottom>
      <diagonal/>
    </border>
    <border>
      <left style="medium">
        <color theme="7"/>
      </left>
      <right style="medium">
        <color theme="7"/>
      </right>
      <top style="medium">
        <color rgb="FF00244D"/>
      </top>
      <bottom style="medium">
        <color theme="7"/>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theme="7"/>
      </left>
      <right style="medium">
        <color theme="7"/>
      </right>
      <top style="medium">
        <color theme="7"/>
      </top>
      <bottom/>
      <diagonal/>
    </border>
    <border>
      <left style="medium">
        <color theme="7"/>
      </left>
      <right style="medium">
        <color theme="7"/>
      </right>
      <top/>
      <bottom style="medium">
        <color theme="7"/>
      </bottom>
      <diagonal/>
    </border>
    <border>
      <left style="medium">
        <color theme="7"/>
      </left>
      <right style="medium">
        <color theme="7"/>
      </right>
      <top/>
      <bottom/>
      <diagonal/>
    </border>
    <border>
      <left style="medium">
        <color theme="7"/>
      </left>
      <right style="medium">
        <color theme="7"/>
      </right>
      <top style="medium">
        <color theme="7"/>
      </top>
      <bottom style="medium">
        <color rgb="FF00244D"/>
      </bottom>
      <diagonal/>
    </border>
    <border>
      <left style="medium">
        <color theme="7"/>
      </left>
      <right style="medium">
        <color theme="7"/>
      </right>
      <top style="medium">
        <color rgb="FF00244D"/>
      </top>
      <bottom style="medium">
        <color rgb="FF00244D"/>
      </bottom>
      <diagonal/>
    </border>
    <border>
      <left style="medium">
        <color theme="7"/>
      </left>
      <right/>
      <top style="medium">
        <color theme="7"/>
      </top>
      <bottom/>
      <diagonal/>
    </border>
    <border>
      <left/>
      <right style="medium">
        <color theme="7"/>
      </right>
      <top style="medium">
        <color theme="7"/>
      </top>
      <bottom/>
      <diagonal/>
    </border>
    <border>
      <left style="thick">
        <color theme="7"/>
      </left>
      <right style="thick">
        <color theme="7"/>
      </right>
      <top style="thick">
        <color theme="7"/>
      </top>
      <bottom style="thick">
        <color theme="7"/>
      </bottom>
      <diagonal/>
    </border>
    <border>
      <left style="thick">
        <color theme="7"/>
      </left>
      <right style="medium">
        <color rgb="FF00244D"/>
      </right>
      <top style="thick">
        <color theme="7"/>
      </top>
      <bottom/>
      <diagonal/>
    </border>
    <border>
      <left style="medium">
        <color rgb="FF00244D"/>
      </left>
      <right style="medium">
        <color rgb="FF00244D"/>
      </right>
      <top style="thick">
        <color theme="7"/>
      </top>
      <bottom/>
      <diagonal/>
    </border>
    <border>
      <left style="medium">
        <color rgb="FF00244D"/>
      </left>
      <right style="thick">
        <color theme="7"/>
      </right>
      <top style="thick">
        <color theme="7"/>
      </top>
      <bottom/>
      <diagonal/>
    </border>
    <border>
      <left style="thick">
        <color theme="7"/>
      </left>
      <right style="medium">
        <color theme="7"/>
      </right>
      <top style="medium">
        <color theme="7"/>
      </top>
      <bottom style="medium">
        <color theme="7"/>
      </bottom>
      <diagonal/>
    </border>
    <border>
      <left style="medium">
        <color theme="7"/>
      </left>
      <right style="thick">
        <color theme="7"/>
      </right>
      <top style="medium">
        <color theme="7"/>
      </top>
      <bottom style="medium">
        <color theme="7"/>
      </bottom>
      <diagonal/>
    </border>
    <border>
      <left style="thick">
        <color theme="7"/>
      </left>
      <right style="medium">
        <color theme="7"/>
      </right>
      <top style="medium">
        <color theme="7"/>
      </top>
      <bottom/>
      <diagonal/>
    </border>
    <border>
      <left style="medium">
        <color theme="7"/>
      </left>
      <right style="thick">
        <color theme="7"/>
      </right>
      <top style="medium">
        <color theme="7"/>
      </top>
      <bottom/>
      <diagonal/>
    </border>
    <border>
      <left style="thick">
        <color theme="7"/>
      </left>
      <right style="medium">
        <color theme="7"/>
      </right>
      <top/>
      <bottom style="medium">
        <color theme="7"/>
      </bottom>
      <diagonal/>
    </border>
    <border>
      <left style="medium">
        <color theme="7"/>
      </left>
      <right style="thick">
        <color theme="7"/>
      </right>
      <top/>
      <bottom style="medium">
        <color theme="7"/>
      </bottom>
      <diagonal/>
    </border>
    <border>
      <left style="thick">
        <color theme="7"/>
      </left>
      <right style="medium">
        <color theme="7"/>
      </right>
      <top/>
      <bottom/>
      <diagonal/>
    </border>
    <border>
      <left style="medium">
        <color theme="7"/>
      </left>
      <right style="thick">
        <color theme="7"/>
      </right>
      <top/>
      <bottom/>
      <diagonal/>
    </border>
    <border>
      <left style="thick">
        <color theme="7"/>
      </left>
      <right style="medium">
        <color theme="7"/>
      </right>
      <top/>
      <bottom style="thick">
        <color theme="7"/>
      </bottom>
      <diagonal/>
    </border>
    <border>
      <left style="medium">
        <color theme="7"/>
      </left>
      <right style="medium">
        <color theme="7"/>
      </right>
      <top/>
      <bottom style="thick">
        <color theme="7"/>
      </bottom>
      <diagonal/>
    </border>
    <border>
      <left style="medium">
        <color theme="7"/>
      </left>
      <right style="thick">
        <color theme="7"/>
      </right>
      <top/>
      <bottom style="thick">
        <color theme="7"/>
      </bottom>
      <diagonal/>
    </border>
    <border>
      <left style="thick">
        <color theme="7"/>
      </left>
      <right/>
      <top style="thick">
        <color theme="7"/>
      </top>
      <bottom/>
      <diagonal/>
    </border>
    <border>
      <left/>
      <right/>
      <top style="thick">
        <color theme="7"/>
      </top>
      <bottom/>
      <diagonal/>
    </border>
    <border>
      <left/>
      <right style="thick">
        <color theme="7"/>
      </right>
      <top style="thick">
        <color theme="7"/>
      </top>
      <bottom/>
      <diagonal/>
    </border>
    <border>
      <left style="thick">
        <color theme="7"/>
      </left>
      <right style="medium">
        <color theme="7"/>
      </right>
      <top style="medium">
        <color theme="7"/>
      </top>
      <bottom style="thick">
        <color theme="7"/>
      </bottom>
      <diagonal/>
    </border>
    <border>
      <left style="medium">
        <color theme="7"/>
      </left>
      <right style="medium">
        <color theme="7"/>
      </right>
      <top style="medium">
        <color theme="7"/>
      </top>
      <bottom style="thick">
        <color theme="7"/>
      </bottom>
      <diagonal/>
    </border>
    <border>
      <left style="medium">
        <color theme="7"/>
      </left>
      <right style="thick">
        <color theme="7"/>
      </right>
      <top style="medium">
        <color theme="7"/>
      </top>
      <bottom style="thick">
        <color theme="7"/>
      </bottom>
      <diagonal/>
    </border>
    <border>
      <left style="thick">
        <color theme="7"/>
      </left>
      <right style="medium">
        <color rgb="FF00244D"/>
      </right>
      <top style="thick">
        <color theme="7"/>
      </top>
      <bottom style="medium">
        <color theme="7"/>
      </bottom>
      <diagonal/>
    </border>
    <border>
      <left style="medium">
        <color rgb="FF00244D"/>
      </left>
      <right style="medium">
        <color rgb="FF00244D"/>
      </right>
      <top style="thick">
        <color theme="7"/>
      </top>
      <bottom style="medium">
        <color theme="7"/>
      </bottom>
      <diagonal/>
    </border>
    <border>
      <left style="medium">
        <color rgb="FF00244D"/>
      </left>
      <right style="thick">
        <color theme="7"/>
      </right>
      <top style="thick">
        <color theme="7"/>
      </top>
      <bottom style="medium">
        <color theme="7"/>
      </bottom>
      <diagonal/>
    </border>
    <border>
      <left style="thick">
        <color theme="7"/>
      </left>
      <right/>
      <top/>
      <bottom/>
      <diagonal/>
    </border>
    <border>
      <left/>
      <right style="thick">
        <color theme="7"/>
      </right>
      <top/>
      <bottom/>
      <diagonal/>
    </border>
    <border>
      <left style="thick">
        <color theme="7"/>
      </left>
      <right style="medium">
        <color theme="7"/>
      </right>
      <top style="medium">
        <color theme="7"/>
      </top>
      <bottom style="medium">
        <color rgb="FF00244D"/>
      </bottom>
      <diagonal/>
    </border>
    <border>
      <left style="thick">
        <color theme="7"/>
      </left>
      <right style="medium">
        <color theme="7"/>
      </right>
      <top style="medium">
        <color rgb="FF00244D"/>
      </top>
      <bottom/>
      <diagonal/>
    </border>
    <border>
      <left style="thick">
        <color theme="7"/>
      </left>
      <right style="medium">
        <color theme="7"/>
      </right>
      <top/>
      <bottom style="medium">
        <color rgb="FF00244D"/>
      </bottom>
      <diagonal/>
    </border>
    <border>
      <left style="thick">
        <color theme="7"/>
      </left>
      <right style="medium">
        <color theme="7"/>
      </right>
      <top style="medium">
        <color rgb="FF00244D"/>
      </top>
      <bottom style="medium">
        <color theme="7"/>
      </bottom>
      <diagonal/>
    </border>
    <border>
      <left style="thick">
        <color theme="7"/>
      </left>
      <right style="medium">
        <color rgb="FF00244D"/>
      </right>
      <top/>
      <bottom/>
      <diagonal/>
    </border>
    <border>
      <left style="medium">
        <color rgb="FF00244D"/>
      </left>
      <right style="thick">
        <color theme="7"/>
      </right>
      <top/>
      <bottom/>
      <diagonal/>
    </border>
    <border>
      <left style="thick">
        <color theme="7"/>
      </left>
      <right style="medium">
        <color theme="7"/>
      </right>
      <top style="medium">
        <color rgb="FF00244D"/>
      </top>
      <bottom style="medium">
        <color rgb="FF00244D"/>
      </bottom>
      <diagonal/>
    </border>
    <border>
      <left/>
      <right style="thick">
        <color theme="7"/>
      </right>
      <top style="medium">
        <color theme="7"/>
      </top>
      <bottom/>
      <diagonal/>
    </border>
    <border>
      <left/>
      <right style="thick">
        <color theme="7"/>
      </right>
      <top/>
      <bottom style="medium">
        <color theme="7"/>
      </bottom>
      <diagonal/>
    </border>
    <border>
      <left/>
      <right/>
      <top/>
      <bottom style="thick">
        <color theme="7"/>
      </bottom>
      <diagonal/>
    </border>
    <border>
      <left style="medium">
        <color theme="7"/>
      </left>
      <right/>
      <top/>
      <bottom style="thick">
        <color theme="7"/>
      </bottom>
      <diagonal/>
    </border>
    <border>
      <left/>
      <right style="medium">
        <color theme="7"/>
      </right>
      <top/>
      <bottom style="thick">
        <color theme="7"/>
      </bottom>
      <diagonal/>
    </border>
    <border>
      <left/>
      <right style="thick">
        <color theme="7"/>
      </right>
      <top/>
      <bottom style="thick">
        <color theme="7"/>
      </bottom>
      <diagonal/>
    </border>
    <border>
      <left style="thick">
        <color theme="7"/>
      </left>
      <right/>
      <top style="medium">
        <color theme="7"/>
      </top>
      <bottom style="medium">
        <color theme="7"/>
      </bottom>
      <diagonal/>
    </border>
    <border>
      <left style="thick">
        <color theme="7"/>
      </left>
      <right/>
      <top style="medium">
        <color theme="7"/>
      </top>
      <bottom style="thick">
        <color theme="7"/>
      </bottom>
      <diagonal/>
    </border>
    <border>
      <left style="thick">
        <color theme="7"/>
      </left>
      <right style="medium">
        <color rgb="FF8D8473"/>
      </right>
      <top style="thick">
        <color theme="7"/>
      </top>
      <bottom style="medium">
        <color theme="7"/>
      </bottom>
      <diagonal/>
    </border>
    <border>
      <left style="medium">
        <color rgb="FF8D8473"/>
      </left>
      <right style="thick">
        <color theme="7"/>
      </right>
      <top style="thick">
        <color theme="7"/>
      </top>
      <bottom style="medium">
        <color theme="7"/>
      </bottom>
      <diagonal/>
    </border>
    <border>
      <left style="thick">
        <color theme="7"/>
      </left>
      <right style="medium">
        <color rgb="FF8D8473"/>
      </right>
      <top style="medium">
        <color theme="7"/>
      </top>
      <bottom style="thick">
        <color theme="7"/>
      </bottom>
      <diagonal/>
    </border>
    <border>
      <left style="medium">
        <color rgb="FF8D8473"/>
      </left>
      <right style="thick">
        <color theme="7"/>
      </right>
      <top style="medium">
        <color theme="7"/>
      </top>
      <bottom style="thick">
        <color theme="7"/>
      </bottom>
      <diagonal/>
    </border>
    <border>
      <left style="thick">
        <color theme="7"/>
      </left>
      <right style="medium">
        <color rgb="FF00244D"/>
      </right>
      <top style="medium">
        <color theme="7"/>
      </top>
      <bottom style="medium">
        <color theme="7"/>
      </bottom>
      <diagonal/>
    </border>
    <border>
      <left style="medium">
        <color rgb="FF00244D"/>
      </left>
      <right style="thick">
        <color theme="7"/>
      </right>
      <top style="medium">
        <color theme="7"/>
      </top>
      <bottom style="medium">
        <color theme="7"/>
      </bottom>
      <diagonal/>
    </border>
    <border>
      <left style="thick">
        <color theme="7"/>
      </left>
      <right style="medium">
        <color rgb="FF00244D"/>
      </right>
      <top style="medium">
        <color theme="7"/>
      </top>
      <bottom style="thick">
        <color theme="7"/>
      </bottom>
      <diagonal/>
    </border>
    <border>
      <left style="medium">
        <color rgb="FF00244D"/>
      </left>
      <right style="thick">
        <color theme="7"/>
      </right>
      <top style="medium">
        <color theme="7"/>
      </top>
      <bottom style="thick">
        <color theme="7"/>
      </bottom>
      <diagonal/>
    </border>
    <border>
      <left style="thick">
        <color theme="7"/>
      </left>
      <right/>
      <top style="thick">
        <color theme="7"/>
      </top>
      <bottom style="medium">
        <color theme="7"/>
      </bottom>
      <diagonal/>
    </border>
    <border>
      <left/>
      <right style="thick">
        <color theme="7"/>
      </right>
      <top style="thick">
        <color theme="7"/>
      </top>
      <bottom style="medium">
        <color theme="7"/>
      </bottom>
      <diagonal/>
    </border>
    <border>
      <left/>
      <right style="thick">
        <color theme="7"/>
      </right>
      <top style="medium">
        <color theme="7"/>
      </top>
      <bottom style="thick">
        <color theme="7"/>
      </bottom>
      <diagonal/>
    </border>
    <border>
      <left style="thick">
        <color theme="7"/>
      </left>
      <right style="thick">
        <color theme="7"/>
      </right>
      <top style="thick">
        <color theme="7"/>
      </top>
      <bottom style="medium">
        <color theme="7"/>
      </bottom>
      <diagonal/>
    </border>
    <border>
      <left style="thick">
        <color theme="7"/>
      </left>
      <right style="thick">
        <color theme="7"/>
      </right>
      <top style="medium">
        <color theme="7"/>
      </top>
      <bottom style="thick">
        <color theme="7"/>
      </bottom>
      <diagonal/>
    </border>
    <border>
      <left style="thick">
        <color theme="7"/>
      </left>
      <right style="thick">
        <color theme="7"/>
      </right>
      <top style="medium">
        <color theme="7"/>
      </top>
      <bottom style="medium">
        <color theme="7"/>
      </bottom>
      <diagonal/>
    </border>
    <border>
      <left/>
      <right style="thick">
        <color theme="7"/>
      </right>
      <top style="medium">
        <color theme="7"/>
      </top>
      <bottom style="medium">
        <color theme="7"/>
      </bottom>
      <diagonal/>
    </border>
    <border>
      <left style="thick">
        <color theme="7"/>
      </left>
      <right/>
      <top style="medium">
        <color theme="7"/>
      </top>
      <bottom/>
      <diagonal/>
    </border>
    <border>
      <left style="thick">
        <color theme="7"/>
      </left>
      <right/>
      <top/>
      <bottom style="medium">
        <color theme="7"/>
      </bottom>
      <diagonal/>
    </border>
    <border>
      <left style="medium">
        <color theme="7"/>
      </left>
      <right/>
      <top style="medium">
        <color theme="7"/>
      </top>
      <bottom style="medium">
        <color theme="7"/>
      </bottom>
      <diagonal/>
    </border>
    <border>
      <left/>
      <right/>
      <top style="medium">
        <color theme="7"/>
      </top>
      <bottom style="medium">
        <color theme="7"/>
      </bottom>
      <diagonal/>
    </border>
    <border>
      <left/>
      <right style="medium">
        <color theme="7"/>
      </right>
      <top style="medium">
        <color theme="7"/>
      </top>
      <bottom style="medium">
        <color theme="7"/>
      </bottom>
      <diagonal/>
    </border>
    <border>
      <left/>
      <right/>
      <top style="medium">
        <color theme="7"/>
      </top>
      <bottom/>
      <diagonal/>
    </border>
    <border>
      <left style="thick">
        <color theme="7"/>
      </left>
      <right style="medium">
        <color theme="7"/>
      </right>
      <top style="thick">
        <color theme="7"/>
      </top>
      <bottom style="medium">
        <color theme="7"/>
      </bottom>
      <diagonal/>
    </border>
    <border>
      <left style="medium">
        <color theme="7"/>
      </left>
      <right style="thick">
        <color theme="7"/>
      </right>
      <top style="thick">
        <color theme="7"/>
      </top>
      <bottom style="medium">
        <color theme="7"/>
      </bottom>
      <diagonal/>
    </border>
    <border>
      <left style="medium">
        <color theme="7"/>
      </left>
      <right style="medium">
        <color rgb="FF00244D"/>
      </right>
      <top/>
      <bottom style="medium">
        <color theme="7"/>
      </bottom>
      <diagonal/>
    </border>
    <border>
      <left style="medium">
        <color rgb="FF00244D"/>
      </left>
      <right style="medium">
        <color theme="7"/>
      </right>
      <top/>
      <bottom style="medium">
        <color theme="7"/>
      </bottom>
      <diagonal/>
    </border>
    <border>
      <left/>
      <right/>
      <top style="thick">
        <color theme="7"/>
      </top>
      <bottom style="medium">
        <color theme="7"/>
      </bottom>
      <diagonal/>
    </border>
    <border>
      <left style="thick">
        <color theme="7"/>
      </left>
      <right style="thick">
        <color theme="7"/>
      </right>
      <top/>
      <bottom/>
      <diagonal/>
    </border>
  </borders>
  <cellStyleXfs count="12">
    <xf numFmtId="0" fontId="0" fillId="0" borderId="0"/>
    <xf numFmtId="0" fontId="2" fillId="0" borderId="0" applyNumberFormat="0" applyFill="0" applyBorder="0" applyAlignment="0" applyProtection="0"/>
    <xf numFmtId="0" fontId="9" fillId="0" borderId="0"/>
    <xf numFmtId="0" fontId="10" fillId="0" borderId="0"/>
    <xf numFmtId="0" fontId="1" fillId="0" borderId="0"/>
    <xf numFmtId="0" fontId="1" fillId="0" borderId="0"/>
    <xf numFmtId="0" fontId="50" fillId="0" borderId="0"/>
    <xf numFmtId="0" fontId="52" fillId="0" borderId="0">
      <alignment vertical="center"/>
    </xf>
    <xf numFmtId="0" fontId="52" fillId="0" borderId="0">
      <alignment vertical="center"/>
    </xf>
    <xf numFmtId="0" fontId="53" fillId="0" borderId="0">
      <alignment vertical="center"/>
    </xf>
    <xf numFmtId="0" fontId="9" fillId="0" borderId="0"/>
    <xf numFmtId="0" fontId="63" fillId="0" borderId="0"/>
  </cellStyleXfs>
  <cellXfs count="606">
    <xf numFmtId="0" fontId="0" fillId="0" borderId="0" xfId="0"/>
    <xf numFmtId="0" fontId="3" fillId="0" borderId="0" xfId="0" applyFont="1"/>
    <xf numFmtId="0" fontId="4" fillId="0" borderId="0" xfId="1" applyFont="1" applyFill="1" applyBorder="1" applyAlignment="1" applyProtection="1"/>
    <xf numFmtId="0" fontId="4" fillId="0" borderId="0" xfId="1" applyFont="1" applyFill="1" applyBorder="1" applyAlignment="1" applyProtection="1">
      <alignment horizontal="left"/>
    </xf>
    <xf numFmtId="0" fontId="5" fillId="0" borderId="0" xfId="1" applyFont="1" applyFill="1" applyBorder="1" applyAlignment="1" applyProtection="1"/>
    <xf numFmtId="0" fontId="3" fillId="0" borderId="0" xfId="0" applyFont="1" applyAlignment="1">
      <alignment wrapText="1"/>
    </xf>
    <xf numFmtId="0" fontId="3" fillId="0" borderId="0" xfId="0" applyFont="1" applyAlignment="1">
      <alignment horizontal="right" indent="1"/>
    </xf>
    <xf numFmtId="0" fontId="3" fillId="0" borderId="0" xfId="0" applyFont="1" applyAlignment="1">
      <alignment horizontal="right" wrapText="1" indent="1"/>
    </xf>
    <xf numFmtId="0" fontId="5" fillId="0" borderId="0" xfId="0" applyFont="1"/>
    <xf numFmtId="0" fontId="13" fillId="0" borderId="0" xfId="0" applyFont="1"/>
    <xf numFmtId="0" fontId="8" fillId="0" borderId="0" xfId="0" applyFont="1"/>
    <xf numFmtId="166" fontId="3" fillId="0" borderId="0" xfId="0" applyNumberFormat="1" applyFont="1"/>
    <xf numFmtId="0" fontId="16" fillId="0" borderId="0" xfId="0" applyFont="1"/>
    <xf numFmtId="164" fontId="3" fillId="0" borderId="0" xfId="0" applyNumberFormat="1" applyFont="1"/>
    <xf numFmtId="0" fontId="18" fillId="0" borderId="0" xfId="0" applyFont="1"/>
    <xf numFmtId="0" fontId="19" fillId="0" borderId="0" xfId="0" applyFont="1" applyAlignment="1">
      <alignment horizontal="right" indent="1"/>
    </xf>
    <xf numFmtId="0" fontId="5" fillId="0" borderId="0" xfId="0" applyFont="1" applyAlignment="1">
      <alignment horizontal="right" indent="1"/>
    </xf>
    <xf numFmtId="2" fontId="5" fillId="0" borderId="0" xfId="0" applyNumberFormat="1" applyFont="1" applyAlignment="1">
      <alignment horizontal="center"/>
    </xf>
    <xf numFmtId="169" fontId="3" fillId="0" borderId="0" xfId="0" applyNumberFormat="1" applyFont="1"/>
    <xf numFmtId="170" fontId="20" fillId="0" borderId="0" xfId="4" applyNumberFormat="1" applyFont="1" applyAlignment="1">
      <alignment horizontal="right"/>
    </xf>
    <xf numFmtId="0" fontId="3" fillId="0" borderId="0" xfId="0" applyFont="1" applyAlignment="1">
      <alignment vertical="center"/>
    </xf>
    <xf numFmtId="0" fontId="7" fillId="2" borderId="0" xfId="0" applyFont="1" applyFill="1" applyAlignment="1">
      <alignment horizontal="center" vertical="center"/>
    </xf>
    <xf numFmtId="166" fontId="3" fillId="0" borderId="0" xfId="0" applyNumberFormat="1" applyFont="1" applyAlignment="1">
      <alignment horizontal="right" indent="1"/>
    </xf>
    <xf numFmtId="0" fontId="8" fillId="2" borderId="0" xfId="0" applyFont="1" applyFill="1"/>
    <xf numFmtId="171" fontId="3" fillId="0" borderId="0" xfId="0" applyNumberFormat="1" applyFont="1"/>
    <xf numFmtId="0" fontId="21" fillId="0" borderId="0" xfId="0" applyFont="1"/>
    <xf numFmtId="0" fontId="22" fillId="0" borderId="0" xfId="0" applyFont="1" applyAlignment="1">
      <alignment vertical="center"/>
    </xf>
    <xf numFmtId="0" fontId="3" fillId="0" borderId="0" xfId="0" applyFont="1" applyAlignment="1">
      <alignment horizontal="right"/>
    </xf>
    <xf numFmtId="0" fontId="5" fillId="0" borderId="0" xfId="0" applyFont="1" applyAlignment="1">
      <alignment horizontal="right"/>
    </xf>
    <xf numFmtId="0" fontId="5" fillId="0" borderId="0" xfId="0" applyFont="1" applyAlignment="1">
      <alignment horizontal="center"/>
    </xf>
    <xf numFmtId="1" fontId="5" fillId="0" borderId="0" xfId="0" applyNumberFormat="1" applyFont="1" applyAlignment="1">
      <alignment horizontal="center"/>
    </xf>
    <xf numFmtId="0" fontId="5" fillId="0" borderId="0" xfId="0" applyFont="1" applyAlignment="1">
      <alignment horizontal="left"/>
    </xf>
    <xf numFmtId="1" fontId="3" fillId="0" borderId="0" xfId="0" applyNumberFormat="1" applyFont="1"/>
    <xf numFmtId="169" fontId="16" fillId="0" borderId="0" xfId="0" applyNumberFormat="1" applyFont="1"/>
    <xf numFmtId="0" fontId="19" fillId="0" borderId="0" xfId="0" applyFont="1"/>
    <xf numFmtId="0" fontId="3" fillId="0" borderId="0" xfId="0" applyFont="1" applyAlignment="1">
      <alignment horizontal="left"/>
    </xf>
    <xf numFmtId="167" fontId="8" fillId="0" borderId="0" xfId="0" applyNumberFormat="1" applyFont="1" applyAlignment="1">
      <alignment horizontal="center"/>
    </xf>
    <xf numFmtId="0" fontId="25" fillId="0" borderId="0" xfId="0" applyFont="1"/>
    <xf numFmtId="1" fontId="29" fillId="0" borderId="0" xfId="0" applyNumberFormat="1" applyFont="1" applyAlignment="1">
      <alignment horizontal="center"/>
    </xf>
    <xf numFmtId="0" fontId="24" fillId="0" borderId="0" xfId="0" applyFont="1"/>
    <xf numFmtId="0" fontId="3" fillId="3" borderId="0" xfId="0" applyFont="1" applyFill="1"/>
    <xf numFmtId="0" fontId="30" fillId="0" borderId="0" xfId="0" applyFont="1"/>
    <xf numFmtId="0" fontId="25" fillId="0" borderId="0" xfId="0" applyFont="1" applyAlignment="1">
      <alignment horizontal="right" indent="1"/>
    </xf>
    <xf numFmtId="0" fontId="25" fillId="0" borderId="0" xfId="0" applyFont="1" applyAlignment="1">
      <alignment horizontal="left"/>
    </xf>
    <xf numFmtId="0" fontId="31" fillId="0" borderId="0" xfId="0" applyFont="1"/>
    <xf numFmtId="0" fontId="32" fillId="0" borderId="0" xfId="1" applyFont="1" applyFill="1" applyBorder="1"/>
    <xf numFmtId="1" fontId="30" fillId="0" borderId="0" xfId="0" applyNumberFormat="1" applyFont="1" applyAlignment="1">
      <alignment horizontal="center"/>
    </xf>
    <xf numFmtId="0" fontId="9" fillId="0" borderId="0" xfId="3" applyFont="1"/>
    <xf numFmtId="166" fontId="31" fillId="0" borderId="0" xfId="0" applyNumberFormat="1" applyFont="1"/>
    <xf numFmtId="169" fontId="31" fillId="0" borderId="0" xfId="0" applyNumberFormat="1" applyFont="1"/>
    <xf numFmtId="14" fontId="31" fillId="0" borderId="0" xfId="0" applyNumberFormat="1" applyFont="1"/>
    <xf numFmtId="166" fontId="8" fillId="0" borderId="0" xfId="0" applyNumberFormat="1" applyFont="1"/>
    <xf numFmtId="0" fontId="2" fillId="0" borderId="0" xfId="1" applyFill="1" applyBorder="1"/>
    <xf numFmtId="0" fontId="25" fillId="0" borderId="0" xfId="0" applyFont="1" applyAlignment="1">
      <alignment horizontal="left" wrapText="1"/>
    </xf>
    <xf numFmtId="3" fontId="0" fillId="0" borderId="0" xfId="0" applyNumberFormat="1"/>
    <xf numFmtId="0" fontId="3" fillId="0" borderId="0" xfId="0" applyFont="1" applyAlignment="1">
      <alignment horizontal="left" vertical="center"/>
    </xf>
    <xf numFmtId="0" fontId="33" fillId="0" borderId="12" xfId="0" applyFont="1" applyBorder="1"/>
    <xf numFmtId="0" fontId="33" fillId="0" borderId="1" xfId="0" applyFont="1" applyBorder="1"/>
    <xf numFmtId="0" fontId="33" fillId="0" borderId="13" xfId="0" applyFont="1" applyBorder="1"/>
    <xf numFmtId="0" fontId="34" fillId="5" borderId="15" xfId="0" applyFont="1" applyFill="1" applyBorder="1" applyAlignment="1">
      <alignment horizontal="center" vertical="center"/>
    </xf>
    <xf numFmtId="0" fontId="33" fillId="0" borderId="14" xfId="0" applyFont="1" applyBorder="1"/>
    <xf numFmtId="0" fontId="33" fillId="0" borderId="0" xfId="0" applyFont="1"/>
    <xf numFmtId="0" fontId="33" fillId="0" borderId="15" xfId="0" applyFont="1" applyBorder="1"/>
    <xf numFmtId="0" fontId="35" fillId="5" borderId="15" xfId="0" applyFont="1" applyFill="1" applyBorder="1"/>
    <xf numFmtId="0" fontId="33" fillId="0" borderId="15" xfId="1" applyFont="1" applyBorder="1" applyAlignment="1" applyProtection="1">
      <alignment horizontal="justify" vertical="top" wrapText="1"/>
    </xf>
    <xf numFmtId="0" fontId="38" fillId="0" borderId="0" xfId="1" applyFont="1" applyBorder="1" applyAlignment="1" applyProtection="1">
      <alignment horizontal="left" indent="2"/>
    </xf>
    <xf numFmtId="0" fontId="36" fillId="0" borderId="14" xfId="0" applyFont="1" applyBorder="1"/>
    <xf numFmtId="0" fontId="33" fillId="0" borderId="16" xfId="0" applyFont="1" applyBorder="1"/>
    <xf numFmtId="0" fontId="33" fillId="0" borderId="18" xfId="0" applyFont="1" applyBorder="1"/>
    <xf numFmtId="0" fontId="38" fillId="0" borderId="0" xfId="1" applyFont="1" applyFill="1" applyBorder="1" applyAlignment="1" applyProtection="1"/>
    <xf numFmtId="166" fontId="25" fillId="0" borderId="0" xfId="0" applyNumberFormat="1" applyFont="1"/>
    <xf numFmtId="0" fontId="28" fillId="0" borderId="0" xfId="0" applyFont="1"/>
    <xf numFmtId="0" fontId="3" fillId="0" borderId="8" xfId="0" applyFont="1" applyBorder="1" applyAlignment="1">
      <alignment horizontal="left" vertical="center" wrapText="1"/>
    </xf>
    <xf numFmtId="0" fontId="8" fillId="0" borderId="8" xfId="0" applyFont="1" applyBorder="1" applyAlignment="1">
      <alignment horizontal="left" vertical="center" wrapText="1"/>
    </xf>
    <xf numFmtId="0" fontId="3" fillId="0" borderId="8" xfId="0" applyFont="1" applyBorder="1" applyAlignment="1">
      <alignment horizontal="center" vertical="center" wrapText="1"/>
    </xf>
    <xf numFmtId="164" fontId="8" fillId="0" borderId="8" xfId="0" applyNumberFormat="1" applyFont="1" applyBorder="1" applyAlignment="1">
      <alignment vertical="center" wrapText="1"/>
    </xf>
    <xf numFmtId="0" fontId="8" fillId="0" borderId="8" xfId="0" applyFont="1" applyBorder="1" applyAlignment="1">
      <alignment vertical="center"/>
    </xf>
    <xf numFmtId="0" fontId="3" fillId="6" borderId="8" xfId="0" applyFont="1" applyFill="1" applyBorder="1" applyAlignment="1">
      <alignment horizontal="center" vertical="center" wrapText="1"/>
    </xf>
    <xf numFmtId="0" fontId="3" fillId="3" borderId="14" xfId="0" applyFont="1" applyFill="1" applyBorder="1" applyAlignment="1">
      <alignment vertical="center" wrapText="1"/>
    </xf>
    <xf numFmtId="0" fontId="3" fillId="0" borderId="33" xfId="0" applyFont="1" applyBorder="1" applyAlignment="1">
      <alignment vertical="center" wrapText="1"/>
    </xf>
    <xf numFmtId="164" fontId="8" fillId="0" borderId="34" xfId="0" applyNumberFormat="1" applyFont="1" applyBorder="1" applyAlignment="1">
      <alignment vertical="center" wrapText="1"/>
    </xf>
    <xf numFmtId="0" fontId="8" fillId="0" borderId="33" xfId="0" applyFont="1" applyBorder="1" applyAlignment="1">
      <alignment vertical="center" wrapText="1"/>
    </xf>
    <xf numFmtId="0" fontId="8" fillId="0" borderId="47" xfId="0" applyFont="1" applyBorder="1" applyAlignment="1">
      <alignment vertical="center" wrapText="1"/>
    </xf>
    <xf numFmtId="0" fontId="8" fillId="0" borderId="48" xfId="0" applyFont="1" applyBorder="1" applyAlignment="1">
      <alignment vertical="center"/>
    </xf>
    <xf numFmtId="0" fontId="8" fillId="0" borderId="48" xfId="0" applyFont="1" applyBorder="1" applyAlignment="1">
      <alignment horizontal="left" vertical="center" wrapText="1"/>
    </xf>
    <xf numFmtId="0" fontId="8" fillId="0" borderId="49" xfId="0" applyFont="1" applyBorder="1" applyAlignment="1">
      <alignment vertical="center"/>
    </xf>
    <xf numFmtId="0" fontId="26" fillId="3" borderId="18" xfId="0" applyFont="1" applyFill="1" applyBorder="1" applyAlignment="1">
      <alignment vertical="top" wrapText="1"/>
    </xf>
    <xf numFmtId="0" fontId="3" fillId="0" borderId="29" xfId="0" applyFont="1" applyBorder="1"/>
    <xf numFmtId="0" fontId="3" fillId="6" borderId="81" xfId="0" applyFont="1" applyFill="1" applyBorder="1"/>
    <xf numFmtId="0" fontId="3" fillId="7" borderId="8"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25" fillId="6" borderId="23"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8" borderId="40"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25" fillId="8" borderId="38" xfId="0" applyFont="1" applyFill="1" applyBorder="1" applyAlignment="1">
      <alignment horizontal="center" vertical="center" wrapText="1"/>
    </xf>
    <xf numFmtId="0" fontId="8" fillId="8" borderId="34" xfId="0" applyFont="1" applyFill="1" applyBorder="1" applyAlignment="1">
      <alignment horizontal="center" vertical="center"/>
    </xf>
    <xf numFmtId="0" fontId="3" fillId="8" borderId="82" xfId="0" applyFont="1" applyFill="1" applyBorder="1"/>
    <xf numFmtId="0" fontId="3" fillId="8" borderId="8" xfId="0" applyFont="1" applyFill="1" applyBorder="1" applyAlignment="1">
      <alignment horizontal="center" vertical="center" wrapText="1"/>
    </xf>
    <xf numFmtId="0" fontId="3" fillId="8" borderId="34" xfId="0" applyFont="1" applyFill="1" applyBorder="1" applyAlignment="1">
      <alignment horizontal="center" vertical="center" wrapText="1"/>
    </xf>
    <xf numFmtId="164" fontId="8" fillId="8" borderId="8" xfId="0" applyNumberFormat="1" applyFont="1" applyFill="1" applyBorder="1" applyAlignment="1">
      <alignment vertical="center" wrapText="1"/>
    </xf>
    <xf numFmtId="164" fontId="8" fillId="8" borderId="34" xfId="0" applyNumberFormat="1" applyFont="1" applyFill="1" applyBorder="1" applyAlignment="1">
      <alignment vertical="center" wrapText="1"/>
    </xf>
    <xf numFmtId="0" fontId="3" fillId="8" borderId="34" xfId="0" applyFont="1" applyFill="1" applyBorder="1" applyAlignment="1">
      <alignment horizontal="center" vertical="center"/>
    </xf>
    <xf numFmtId="169" fontId="3" fillId="8" borderId="36" xfId="0" applyNumberFormat="1" applyFont="1" applyFill="1" applyBorder="1" applyAlignment="1">
      <alignment horizontal="center" vertical="center"/>
    </xf>
    <xf numFmtId="169" fontId="25" fillId="8" borderId="38" xfId="0" applyNumberFormat="1" applyFont="1" applyFill="1" applyBorder="1" applyAlignment="1">
      <alignment horizontal="center" vertical="center"/>
    </xf>
    <xf numFmtId="172" fontId="26" fillId="8" borderId="38" xfId="0" applyNumberFormat="1" applyFont="1" applyFill="1" applyBorder="1" applyAlignment="1">
      <alignment horizontal="center" vertical="center" wrapText="1"/>
    </xf>
    <xf numFmtId="169" fontId="25" fillId="8" borderId="38" xfId="0" applyNumberFormat="1" applyFont="1" applyFill="1" applyBorder="1" applyAlignment="1">
      <alignment horizontal="center" vertical="center" wrapText="1"/>
    </xf>
    <xf numFmtId="169" fontId="3" fillId="8" borderId="36" xfId="0" applyNumberFormat="1" applyFont="1" applyFill="1" applyBorder="1" applyAlignment="1">
      <alignment horizontal="center" vertical="center" wrapText="1"/>
    </xf>
    <xf numFmtId="0" fontId="40" fillId="8" borderId="36" xfId="0" applyFont="1" applyFill="1" applyBorder="1" applyAlignment="1">
      <alignment horizontal="center" vertical="center"/>
    </xf>
    <xf numFmtId="0" fontId="40" fillId="8" borderId="40" xfId="0" applyFont="1" applyFill="1" applyBorder="1" applyAlignment="1">
      <alignment horizontal="center" vertical="center" wrapText="1"/>
    </xf>
    <xf numFmtId="0" fontId="41" fillId="8" borderId="40" xfId="0" applyFont="1" applyFill="1" applyBorder="1" applyAlignment="1">
      <alignment horizontal="center" vertical="center" wrapText="1"/>
    </xf>
    <xf numFmtId="0" fontId="41" fillId="8" borderId="43" xfId="0" applyFont="1" applyFill="1" applyBorder="1" applyAlignment="1">
      <alignment horizontal="center" vertical="center" wrapText="1"/>
    </xf>
    <xf numFmtId="1" fontId="3" fillId="8" borderId="36" xfId="0" applyNumberFormat="1" applyFont="1" applyFill="1" applyBorder="1" applyAlignment="1">
      <alignment horizontal="center" vertical="center" wrapText="1"/>
    </xf>
    <xf numFmtId="1" fontId="3" fillId="8" borderId="40" xfId="0" applyNumberFormat="1" applyFont="1" applyFill="1" applyBorder="1" applyAlignment="1">
      <alignment horizontal="center" vertical="center" wrapText="1"/>
    </xf>
    <xf numFmtId="1" fontId="25" fillId="8" borderId="38" xfId="0" applyNumberFormat="1" applyFont="1" applyFill="1" applyBorder="1" applyAlignment="1">
      <alignment horizontal="center" vertical="center" wrapText="1"/>
    </xf>
    <xf numFmtId="1" fontId="8" fillId="8" borderId="36" xfId="0" applyNumberFormat="1" applyFont="1" applyFill="1" applyBorder="1" applyAlignment="1">
      <alignment horizontal="center" vertical="center" wrapText="1"/>
    </xf>
    <xf numFmtId="1" fontId="8" fillId="8" borderId="40" xfId="0" applyNumberFormat="1" applyFont="1" applyFill="1" applyBorder="1" applyAlignment="1">
      <alignment horizontal="center" vertical="center" wrapText="1"/>
    </xf>
    <xf numFmtId="0" fontId="26" fillId="8" borderId="38" xfId="0" applyFont="1" applyFill="1" applyBorder="1" applyAlignment="1">
      <alignment horizontal="center" vertical="center"/>
    </xf>
    <xf numFmtId="0" fontId="41" fillId="8" borderId="40" xfId="0" applyFont="1" applyFill="1" applyBorder="1" applyAlignment="1">
      <alignment horizontal="center" vertical="center"/>
    </xf>
    <xf numFmtId="0" fontId="41" fillId="8" borderId="38" xfId="0" applyFont="1" applyFill="1" applyBorder="1" applyAlignment="1">
      <alignment horizontal="center" vertical="center" wrapText="1"/>
    </xf>
    <xf numFmtId="0" fontId="8" fillId="8" borderId="62" xfId="0" applyFont="1" applyFill="1" applyBorder="1" applyAlignment="1">
      <alignment horizontal="center" vertical="center"/>
    </xf>
    <xf numFmtId="0" fontId="8" fillId="8" borderId="54" xfId="0" applyFont="1" applyFill="1" applyBorder="1" applyAlignment="1">
      <alignment horizontal="center" vertical="center"/>
    </xf>
    <xf numFmtId="169" fontId="25" fillId="8" borderId="63" xfId="0" applyNumberFormat="1" applyFont="1" applyFill="1" applyBorder="1" applyAlignment="1">
      <alignment horizontal="center" vertical="center"/>
    </xf>
    <xf numFmtId="0" fontId="46" fillId="8" borderId="34" xfId="0" applyFont="1" applyFill="1" applyBorder="1" applyAlignment="1">
      <alignment horizontal="center" vertical="center"/>
    </xf>
    <xf numFmtId="169" fontId="3" fillId="8" borderId="40" xfId="0" applyNumberFormat="1" applyFont="1" applyFill="1" applyBorder="1" applyAlignment="1">
      <alignment horizontal="center" vertical="center" wrapText="1"/>
    </xf>
    <xf numFmtId="169" fontId="40" fillId="8" borderId="36" xfId="0" applyNumberFormat="1" applyFont="1" applyFill="1" applyBorder="1" applyAlignment="1">
      <alignment horizontal="center" vertical="center"/>
    </xf>
    <xf numFmtId="169" fontId="41" fillId="8" borderId="38" xfId="0" applyNumberFormat="1" applyFont="1" applyFill="1" applyBorder="1" applyAlignment="1">
      <alignment horizontal="center" vertical="center"/>
    </xf>
    <xf numFmtId="169" fontId="25" fillId="8" borderId="40" xfId="0" applyNumberFormat="1" applyFont="1" applyFill="1" applyBorder="1" applyAlignment="1">
      <alignment horizontal="center" vertical="center"/>
    </xf>
    <xf numFmtId="0" fontId="46" fillId="6" borderId="8" xfId="0" applyFont="1" applyFill="1" applyBorder="1" applyAlignment="1">
      <alignment horizontal="center" vertical="center"/>
    </xf>
    <xf numFmtId="1" fontId="3" fillId="6" borderId="22" xfId="0" applyNumberFormat="1" applyFont="1" applyFill="1" applyBorder="1" applyAlignment="1">
      <alignment horizontal="center" vertical="center" wrapText="1"/>
    </xf>
    <xf numFmtId="0" fontId="40" fillId="6" borderId="22" xfId="0" applyFont="1" applyFill="1" applyBorder="1" applyAlignment="1">
      <alignment horizontal="center" vertical="center" wrapText="1"/>
    </xf>
    <xf numFmtId="0" fontId="41" fillId="6" borderId="23" xfId="0" applyFont="1" applyFill="1" applyBorder="1" applyAlignment="1">
      <alignment horizontal="center" vertical="center" wrapText="1"/>
    </xf>
    <xf numFmtId="1" fontId="3" fillId="6" borderId="24" xfId="0" applyNumberFormat="1" applyFont="1" applyFill="1" applyBorder="1" applyAlignment="1">
      <alignment horizontal="center" vertical="center" wrapText="1"/>
    </xf>
    <xf numFmtId="0" fontId="25" fillId="6" borderId="24" xfId="0" applyFont="1" applyFill="1" applyBorder="1" applyAlignment="1">
      <alignment horizontal="center" vertical="center" wrapText="1"/>
    </xf>
    <xf numFmtId="1" fontId="8" fillId="6" borderId="22" xfId="0" applyNumberFormat="1" applyFont="1" applyFill="1" applyBorder="1" applyAlignment="1">
      <alignment horizontal="center" vertical="center" wrapText="1"/>
    </xf>
    <xf numFmtId="0" fontId="3" fillId="6" borderId="22" xfId="0" applyFont="1" applyFill="1" applyBorder="1" applyAlignment="1">
      <alignment horizontal="center" vertical="center"/>
    </xf>
    <xf numFmtId="169" fontId="25" fillId="6" borderId="23" xfId="0" applyNumberFormat="1" applyFont="1" applyFill="1" applyBorder="1" applyAlignment="1">
      <alignment horizontal="center" vertical="center"/>
    </xf>
    <xf numFmtId="1" fontId="25" fillId="6" borderId="23" xfId="0" applyNumberFormat="1" applyFont="1" applyFill="1" applyBorder="1" applyAlignment="1">
      <alignment horizontal="center" vertical="center" wrapText="1"/>
    </xf>
    <xf numFmtId="1" fontId="8" fillId="6" borderId="24" xfId="0" applyNumberFormat="1" applyFont="1" applyFill="1" applyBorder="1" applyAlignment="1">
      <alignment horizontal="center" vertical="center" wrapText="1"/>
    </xf>
    <xf numFmtId="1" fontId="26" fillId="6" borderId="23" xfId="0" applyNumberFormat="1" applyFont="1" applyFill="1" applyBorder="1" applyAlignment="1">
      <alignment horizontal="center" vertical="center"/>
    </xf>
    <xf numFmtId="0" fontId="40" fillId="6" borderId="22" xfId="0" applyFont="1" applyFill="1" applyBorder="1" applyAlignment="1">
      <alignment horizontal="center" vertical="center"/>
    </xf>
    <xf numFmtId="0" fontId="40" fillId="6" borderId="24" xfId="0" applyFont="1" applyFill="1" applyBorder="1" applyAlignment="1">
      <alignment horizontal="center" vertical="center" wrapText="1"/>
    </xf>
    <xf numFmtId="0" fontId="41" fillId="6" borderId="24"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33" xfId="0" applyFont="1" applyFill="1" applyBorder="1" applyAlignment="1">
      <alignment horizontal="center" vertical="center" wrapText="1"/>
    </xf>
    <xf numFmtId="0" fontId="33" fillId="7" borderId="33" xfId="0" applyFont="1" applyFill="1" applyBorder="1" applyAlignment="1">
      <alignment horizontal="center" vertical="center" wrapText="1"/>
    </xf>
    <xf numFmtId="0" fontId="33" fillId="7" borderId="8" xfId="0" applyFont="1" applyFill="1" applyBorder="1" applyAlignment="1">
      <alignment horizontal="center" vertical="center" wrapText="1"/>
    </xf>
    <xf numFmtId="0" fontId="41" fillId="6" borderId="24" xfId="0" applyFont="1" applyFill="1" applyBorder="1" applyAlignment="1">
      <alignment horizontal="center" vertical="center" wrapText="1"/>
    </xf>
    <xf numFmtId="0" fontId="41" fillId="6" borderId="42" xfId="0" applyFont="1" applyFill="1" applyBorder="1" applyAlignment="1">
      <alignment horizontal="center" vertical="center" wrapText="1"/>
    </xf>
    <xf numFmtId="164" fontId="8" fillId="6" borderId="8" xfId="0" applyNumberFormat="1" applyFont="1" applyFill="1" applyBorder="1" applyAlignment="1">
      <alignment vertical="center" wrapText="1"/>
    </xf>
    <xf numFmtId="164" fontId="8" fillId="6" borderId="34" xfId="0" applyNumberFormat="1" applyFont="1" applyFill="1" applyBorder="1" applyAlignment="1">
      <alignment vertical="center" wrapText="1"/>
    </xf>
    <xf numFmtId="164" fontId="8" fillId="6" borderId="8" xfId="0" applyNumberFormat="1" applyFont="1" applyFill="1" applyBorder="1" applyAlignment="1">
      <alignment vertical="center"/>
    </xf>
    <xf numFmtId="0" fontId="6" fillId="9" borderId="45" xfId="0" applyFont="1" applyFill="1" applyBorder="1" applyAlignment="1">
      <alignment horizontal="left" vertical="center"/>
    </xf>
    <xf numFmtId="0" fontId="14" fillId="9" borderId="46" xfId="0" applyFont="1" applyFill="1" applyBorder="1" applyAlignment="1">
      <alignment horizontal="left" vertical="center"/>
    </xf>
    <xf numFmtId="0" fontId="3" fillId="6" borderId="83" xfId="0" applyFont="1" applyFill="1" applyBorder="1"/>
    <xf numFmtId="0" fontId="3" fillId="10" borderId="81" xfId="0" applyFont="1" applyFill="1" applyBorder="1"/>
    <xf numFmtId="164" fontId="8" fillId="6" borderId="68" xfId="0" applyNumberFormat="1" applyFont="1" applyFill="1" applyBorder="1" applyAlignment="1">
      <alignment horizontal="center" vertical="center"/>
    </xf>
    <xf numFmtId="164" fontId="8" fillId="8" borderId="34" xfId="0" applyNumberFormat="1" applyFont="1" applyFill="1" applyBorder="1" applyAlignment="1">
      <alignment horizontal="center" vertical="center"/>
    </xf>
    <xf numFmtId="164" fontId="8" fillId="6" borderId="69" xfId="0" applyNumberFormat="1" applyFont="1" applyFill="1" applyBorder="1" applyAlignment="1">
      <alignment horizontal="center" vertical="center"/>
    </xf>
    <xf numFmtId="164" fontId="8" fillId="8" borderId="49" xfId="0" applyNumberFormat="1" applyFont="1" applyFill="1" applyBorder="1" applyAlignment="1">
      <alignment horizontal="center" vertical="center"/>
    </xf>
    <xf numFmtId="0" fontId="46" fillId="9" borderId="33" xfId="0" applyFont="1" applyFill="1" applyBorder="1" applyAlignment="1">
      <alignment horizontal="center" vertical="center" wrapText="1"/>
    </xf>
    <xf numFmtId="0" fontId="46" fillId="9" borderId="8" xfId="0" applyFont="1" applyFill="1" applyBorder="1" applyAlignment="1">
      <alignment horizontal="center" vertical="center" wrapText="1"/>
    </xf>
    <xf numFmtId="0" fontId="25" fillId="8" borderId="40" xfId="0" applyFont="1" applyFill="1" applyBorder="1" applyAlignment="1">
      <alignment horizontal="center" vertical="center" wrapText="1"/>
    </xf>
    <xf numFmtId="0" fontId="3" fillId="0" borderId="33" xfId="0" applyFont="1" applyBorder="1" applyAlignment="1">
      <alignment horizontal="center" vertical="center" wrapText="1"/>
    </xf>
    <xf numFmtId="0" fontId="8" fillId="0" borderId="35" xfId="0" applyFont="1" applyBorder="1" applyAlignment="1">
      <alignment horizontal="right" vertical="center" wrapText="1"/>
    </xf>
    <xf numFmtId="0" fontId="3" fillId="3" borderId="39" xfId="0" applyFont="1" applyFill="1" applyBorder="1" applyAlignment="1">
      <alignment horizontal="right" vertical="center" wrapText="1"/>
    </xf>
    <xf numFmtId="0" fontId="25" fillId="3" borderId="37" xfId="0" applyFont="1" applyFill="1" applyBorder="1" applyAlignment="1">
      <alignment horizontal="right" vertical="center" wrapText="1"/>
    </xf>
    <xf numFmtId="0" fontId="3" fillId="3" borderId="35" xfId="0" applyFont="1" applyFill="1" applyBorder="1" applyAlignment="1">
      <alignment horizontal="right" vertical="center" wrapText="1"/>
    </xf>
    <xf numFmtId="0" fontId="26" fillId="3" borderId="37" xfId="0" applyFont="1" applyFill="1" applyBorder="1" applyAlignment="1">
      <alignment horizontal="right" vertical="center" wrapText="1"/>
    </xf>
    <xf numFmtId="164" fontId="8" fillId="10" borderId="8" xfId="0" applyNumberFormat="1" applyFont="1" applyFill="1" applyBorder="1" applyAlignment="1">
      <alignment horizontal="right" vertical="center"/>
    </xf>
    <xf numFmtId="164" fontId="8" fillId="0" borderId="8" xfId="0" applyNumberFormat="1" applyFont="1" applyBorder="1" applyAlignment="1">
      <alignment horizontal="right" vertical="center"/>
    </xf>
    <xf numFmtId="164" fontId="8" fillId="0" borderId="34" xfId="0" applyNumberFormat="1" applyFont="1" applyBorder="1" applyAlignment="1">
      <alignment horizontal="right" vertical="center"/>
    </xf>
    <xf numFmtId="164" fontId="8" fillId="0" borderId="8" xfId="0" applyNumberFormat="1" applyFont="1" applyBorder="1" applyAlignment="1">
      <alignment horizontal="right" vertical="center" wrapText="1"/>
    </xf>
    <xf numFmtId="164" fontId="8" fillId="0" borderId="34" xfId="0" applyNumberFormat="1" applyFont="1" applyBorder="1" applyAlignment="1">
      <alignment horizontal="right" vertical="center" wrapText="1"/>
    </xf>
    <xf numFmtId="169" fontId="3" fillId="8" borderId="40" xfId="0" applyNumberFormat="1" applyFont="1" applyFill="1" applyBorder="1" applyAlignment="1">
      <alignment horizontal="center" vertical="center"/>
    </xf>
    <xf numFmtId="0" fontId="25" fillId="3" borderId="23" xfId="0" applyFont="1" applyFill="1" applyBorder="1" applyAlignment="1">
      <alignment horizontal="justify" vertical="center" wrapText="1"/>
    </xf>
    <xf numFmtId="172" fontId="8" fillId="8" borderId="40" xfId="0" applyNumberFormat="1" applyFont="1" applyFill="1" applyBorder="1" applyAlignment="1">
      <alignment horizontal="center" vertical="center" wrapText="1"/>
    </xf>
    <xf numFmtId="0" fontId="26" fillId="3" borderId="23" xfId="0" applyFont="1" applyFill="1" applyBorder="1" applyAlignment="1">
      <alignment horizontal="justify" vertical="center" wrapText="1"/>
    </xf>
    <xf numFmtId="0" fontId="43" fillId="0" borderId="0" xfId="0" applyFont="1" applyAlignment="1">
      <alignment vertical="center"/>
    </xf>
    <xf numFmtId="0" fontId="23" fillId="0" borderId="0" xfId="0" applyFont="1" applyAlignment="1">
      <alignment vertical="center"/>
    </xf>
    <xf numFmtId="0" fontId="13" fillId="0" borderId="0" xfId="0" applyFont="1" applyAlignment="1">
      <alignment vertical="center"/>
    </xf>
    <xf numFmtId="0" fontId="44" fillId="0" borderId="0" xfId="0" applyFont="1" applyAlignment="1">
      <alignment vertical="center"/>
    </xf>
    <xf numFmtId="0" fontId="3" fillId="0" borderId="0" xfId="0" applyFont="1" applyAlignment="1">
      <alignment horizontal="right" vertical="center"/>
    </xf>
    <xf numFmtId="173" fontId="8" fillId="6" borderId="33" xfId="0" applyNumberFormat="1" applyFont="1" applyFill="1" applyBorder="1" applyAlignment="1">
      <alignment horizontal="center" vertical="center"/>
    </xf>
    <xf numFmtId="173" fontId="8" fillId="8" borderId="84" xfId="0" applyNumberFormat="1" applyFont="1" applyFill="1" applyBorder="1" applyAlignment="1">
      <alignment horizontal="center" vertical="center"/>
    </xf>
    <xf numFmtId="0" fontId="3" fillId="3" borderId="28" xfId="0" applyFont="1" applyFill="1" applyBorder="1" applyAlignment="1">
      <alignment horizontal="right" vertical="center" wrapText="1"/>
    </xf>
    <xf numFmtId="0" fontId="25" fillId="3" borderId="18" xfId="0" applyFont="1" applyFill="1" applyBorder="1" applyAlignment="1">
      <alignment horizontal="right" vertical="center" wrapText="1"/>
    </xf>
    <xf numFmtId="174" fontId="8" fillId="0" borderId="8" xfId="0" applyNumberFormat="1" applyFont="1" applyBorder="1" applyAlignment="1">
      <alignment vertical="center"/>
    </xf>
    <xf numFmtId="174" fontId="8" fillId="0" borderId="34" xfId="0" applyNumberFormat="1" applyFont="1" applyBorder="1" applyAlignment="1">
      <alignment vertical="center"/>
    </xf>
    <xf numFmtId="0" fontId="4" fillId="0" borderId="0" xfId="1" applyFont="1" applyFill="1" applyBorder="1" applyAlignment="1" applyProtection="1">
      <alignment vertical="center"/>
    </xf>
    <xf numFmtId="0" fontId="5" fillId="0" borderId="0" xfId="0" applyFont="1" applyAlignment="1">
      <alignment vertical="center"/>
    </xf>
    <xf numFmtId="0" fontId="3" fillId="7" borderId="8" xfId="0" applyFont="1" applyFill="1" applyBorder="1" applyAlignment="1">
      <alignment horizontal="left" vertical="center" wrapText="1"/>
    </xf>
    <xf numFmtId="0" fontId="25" fillId="3" borderId="23" xfId="0" applyFont="1" applyFill="1" applyBorder="1" applyAlignment="1">
      <alignment vertical="center" wrapText="1"/>
    </xf>
    <xf numFmtId="0" fontId="3" fillId="3" borderId="27" xfId="0" applyFont="1" applyFill="1" applyBorder="1" applyAlignment="1">
      <alignment vertical="center" wrapText="1"/>
    </xf>
    <xf numFmtId="0" fontId="3" fillId="3" borderId="28" xfId="0" applyFont="1" applyFill="1" applyBorder="1" applyAlignment="1">
      <alignment vertical="center" wrapText="1"/>
    </xf>
    <xf numFmtId="0" fontId="3" fillId="3" borderId="15" xfId="0" applyFont="1" applyFill="1" applyBorder="1" applyAlignment="1">
      <alignment vertical="center" wrapText="1"/>
    </xf>
    <xf numFmtId="0" fontId="3" fillId="3" borderId="65" xfId="0" applyFont="1" applyFill="1" applyBorder="1" applyAlignment="1">
      <alignment vertical="center" wrapText="1"/>
    </xf>
    <xf numFmtId="0" fontId="3" fillId="3" borderId="66" xfId="0" applyFont="1" applyFill="1" applyBorder="1" applyAlignment="1">
      <alignment vertical="center" wrapText="1"/>
    </xf>
    <xf numFmtId="0" fontId="23" fillId="0" borderId="0" xfId="0" applyFont="1" applyAlignment="1">
      <alignment vertical="center" wrapText="1"/>
    </xf>
    <xf numFmtId="0" fontId="27" fillId="0" borderId="0" xfId="0" applyFont="1" applyAlignment="1">
      <alignment horizontal="left" vertical="center" wrapText="1"/>
    </xf>
    <xf numFmtId="0" fontId="27" fillId="0" borderId="0" xfId="0" applyFont="1" applyAlignment="1">
      <alignment vertical="center"/>
    </xf>
    <xf numFmtId="0" fontId="3" fillId="0" borderId="0" xfId="0" quotePrefix="1" applyFont="1" applyAlignment="1">
      <alignment horizontal="right" vertical="center"/>
    </xf>
    <xf numFmtId="0" fontId="16" fillId="0" borderId="0" xfId="0" applyFont="1" applyAlignment="1">
      <alignment horizontal="right" vertical="center"/>
    </xf>
    <xf numFmtId="0" fontId="8" fillId="0" borderId="0" xfId="0" applyFont="1" applyAlignment="1">
      <alignment horizontal="right" vertical="center"/>
    </xf>
    <xf numFmtId="0" fontId="8" fillId="0" borderId="0" xfId="0" applyFont="1" applyAlignment="1">
      <alignment horizontal="right" vertical="center" wrapText="1"/>
    </xf>
    <xf numFmtId="164" fontId="3" fillId="0" borderId="20" xfId="0" applyNumberFormat="1" applyFont="1" applyBorder="1" applyAlignment="1">
      <alignment horizontal="center" vertical="center"/>
    </xf>
    <xf numFmtId="164" fontId="3" fillId="0" borderId="21" xfId="0" applyNumberFormat="1" applyFont="1" applyBorder="1" applyAlignment="1">
      <alignment horizontal="center" vertical="center"/>
    </xf>
    <xf numFmtId="164" fontId="3" fillId="0" borderId="5" xfId="0" applyNumberFormat="1" applyFont="1" applyBorder="1" applyAlignment="1">
      <alignment horizontal="center" vertical="center"/>
    </xf>
    <xf numFmtId="164" fontId="3" fillId="0" borderId="4" xfId="0" applyNumberFormat="1" applyFont="1" applyBorder="1" applyAlignment="1">
      <alignment horizontal="center" vertical="center"/>
    </xf>
    <xf numFmtId="168" fontId="3" fillId="0" borderId="0" xfId="0" applyNumberFormat="1" applyFont="1" applyAlignment="1">
      <alignment horizontal="center" vertical="center"/>
    </xf>
    <xf numFmtId="0" fontId="3" fillId="0" borderId="0" xfId="0" applyFont="1" applyAlignment="1">
      <alignment vertical="center" wrapText="1"/>
    </xf>
    <xf numFmtId="0" fontId="5" fillId="0" borderId="0" xfId="0" applyFont="1" applyAlignment="1">
      <alignment horizontal="left" vertical="center"/>
    </xf>
    <xf numFmtId="0" fontId="30" fillId="0" borderId="0" xfId="0" applyFont="1" applyAlignment="1">
      <alignment vertical="center"/>
    </xf>
    <xf numFmtId="1" fontId="30" fillId="0" borderId="0" xfId="0" applyNumberFormat="1" applyFont="1" applyAlignment="1">
      <alignment horizontal="center" vertical="center"/>
    </xf>
    <xf numFmtId="0" fontId="8" fillId="0" borderId="0" xfId="0" applyFont="1" applyAlignment="1">
      <alignment vertical="center"/>
    </xf>
    <xf numFmtId="0" fontId="18" fillId="0" borderId="0" xfId="0" applyFont="1" applyAlignment="1">
      <alignment vertical="center"/>
    </xf>
    <xf numFmtId="175" fontId="51" fillId="0" borderId="0" xfId="6" applyNumberFormat="1" applyFont="1" applyAlignment="1">
      <alignment horizontal="right" vertical="center" shrinkToFit="1"/>
    </xf>
    <xf numFmtId="170" fontId="51" fillId="0" borderId="0" xfId="6" applyNumberFormat="1" applyFont="1" applyAlignment="1">
      <alignment horizontal="right" vertical="center" shrinkToFit="1"/>
    </xf>
    <xf numFmtId="0" fontId="38" fillId="0" borderId="0" xfId="1" applyFont="1" applyFill="1" applyBorder="1" applyAlignment="1" applyProtection="1">
      <alignment horizontal="left" vertical="center"/>
    </xf>
    <xf numFmtId="0" fontId="3" fillId="0" borderId="8" xfId="0" applyFont="1" applyBorder="1" applyAlignment="1">
      <alignment vertical="center" wrapText="1"/>
    </xf>
    <xf numFmtId="0" fontId="54" fillId="0" borderId="89" xfId="0" applyFont="1" applyBorder="1" applyAlignment="1">
      <alignment vertical="center" wrapText="1"/>
    </xf>
    <xf numFmtId="0" fontId="25" fillId="0" borderId="8" xfId="0" applyFont="1" applyBorder="1" applyAlignment="1">
      <alignment horizontal="center" vertical="center" wrapText="1"/>
    </xf>
    <xf numFmtId="0" fontId="51" fillId="0" borderId="8" xfId="0" applyFont="1" applyBorder="1" applyAlignment="1">
      <alignment vertical="center" wrapText="1"/>
    </xf>
    <xf numFmtId="14" fontId="56" fillId="0" borderId="90" xfId="0" applyNumberFormat="1" applyFont="1" applyBorder="1" applyAlignment="1">
      <alignment horizontal="center" vertical="center" wrapText="1"/>
    </xf>
    <xf numFmtId="14" fontId="51" fillId="0" borderId="8" xfId="0" applyNumberFormat="1" applyFont="1" applyBorder="1" applyAlignment="1">
      <alignment horizontal="center" vertical="center" wrapText="1"/>
    </xf>
    <xf numFmtId="14" fontId="51" fillId="3" borderId="8" xfId="0" applyNumberFormat="1" applyFont="1" applyFill="1" applyBorder="1" applyAlignment="1">
      <alignment horizontal="center" vertical="center" wrapText="1"/>
    </xf>
    <xf numFmtId="14" fontId="57" fillId="0" borderId="8" xfId="0" applyNumberFormat="1" applyFont="1" applyBorder="1" applyAlignment="1">
      <alignment horizontal="center" vertical="center" wrapText="1"/>
    </xf>
    <xf numFmtId="0" fontId="58" fillId="3" borderId="24" xfId="0" applyFont="1" applyFill="1" applyBorder="1" applyAlignment="1">
      <alignment horizontal="right" vertical="top"/>
    </xf>
    <xf numFmtId="0" fontId="59" fillId="3" borderId="23" xfId="0" applyFont="1" applyFill="1" applyBorder="1" applyAlignment="1">
      <alignment horizontal="right" vertical="top"/>
    </xf>
    <xf numFmtId="0" fontId="40" fillId="3" borderId="24" xfId="0" applyFont="1" applyFill="1" applyBorder="1" applyAlignment="1">
      <alignment horizontal="right" vertical="center"/>
    </xf>
    <xf numFmtId="0" fontId="3" fillId="6" borderId="89" xfId="0" applyFont="1" applyFill="1" applyBorder="1" applyAlignment="1">
      <alignment horizontal="center" vertical="center" wrapText="1"/>
    </xf>
    <xf numFmtId="0" fontId="41" fillId="3" borderId="23" xfId="0" applyFont="1" applyFill="1" applyBorder="1" applyAlignment="1">
      <alignment horizontal="right" vertical="center"/>
    </xf>
    <xf numFmtId="0" fontId="40" fillId="3" borderId="24" xfId="0" applyFont="1" applyFill="1" applyBorder="1" applyAlignment="1">
      <alignment vertical="center"/>
    </xf>
    <xf numFmtId="0" fontId="8" fillId="11" borderId="90" xfId="0" applyFont="1" applyFill="1" applyBorder="1" applyAlignment="1">
      <alignment horizontal="center" vertical="center" wrapText="1"/>
    </xf>
    <xf numFmtId="0" fontId="8" fillId="12" borderId="90" xfId="0" applyFont="1" applyFill="1" applyBorder="1" applyAlignment="1">
      <alignment horizontal="center" vertical="center" wrapText="1"/>
    </xf>
    <xf numFmtId="0" fontId="8" fillId="13" borderId="90" xfId="0" applyFont="1" applyFill="1" applyBorder="1" applyAlignment="1">
      <alignment horizontal="center" vertical="center" wrapText="1"/>
    </xf>
    <xf numFmtId="0" fontId="41" fillId="3" borderId="23" xfId="0" applyFont="1" applyFill="1" applyBorder="1" applyAlignment="1">
      <alignment vertical="center"/>
    </xf>
    <xf numFmtId="0" fontId="40" fillId="3" borderId="22" xfId="0" applyFont="1" applyFill="1" applyBorder="1" applyAlignment="1">
      <alignment vertical="center"/>
    </xf>
    <xf numFmtId="0" fontId="3" fillId="3" borderId="17" xfId="0" applyFont="1" applyFill="1" applyBorder="1" applyAlignment="1">
      <alignment horizontal="center" vertical="center" wrapText="1"/>
    </xf>
    <xf numFmtId="0" fontId="8" fillId="11" borderId="17" xfId="0" applyFont="1" applyFill="1" applyBorder="1" applyAlignment="1">
      <alignment horizontal="center" vertical="center" wrapText="1"/>
    </xf>
    <xf numFmtId="0" fontId="60" fillId="11" borderId="17" xfId="0" applyFont="1" applyFill="1" applyBorder="1" applyAlignment="1">
      <alignment horizontal="center" vertical="center" wrapText="1"/>
    </xf>
    <xf numFmtId="0" fontId="61" fillId="11" borderId="27" xfId="0" applyFont="1" applyFill="1" applyBorder="1" applyAlignment="1">
      <alignment horizontal="center" vertical="center"/>
    </xf>
    <xf numFmtId="0" fontId="61" fillId="11" borderId="28" xfId="0" applyFont="1" applyFill="1" applyBorder="1" applyAlignment="1">
      <alignment horizontal="center" vertical="center"/>
    </xf>
    <xf numFmtId="0" fontId="62" fillId="12" borderId="14" xfId="0" applyFont="1" applyFill="1" applyBorder="1" applyAlignment="1">
      <alignment horizontal="center" vertical="center"/>
    </xf>
    <xf numFmtId="0" fontId="62" fillId="12" borderId="15" xfId="0" applyFont="1" applyFill="1" applyBorder="1" applyAlignment="1">
      <alignment horizontal="center" vertical="center"/>
    </xf>
    <xf numFmtId="0" fontId="3" fillId="13" borderId="14" xfId="0" applyFont="1" applyFill="1" applyBorder="1" applyAlignment="1">
      <alignment horizontal="center" vertical="center"/>
    </xf>
    <xf numFmtId="0" fontId="3" fillId="13" borderId="15" xfId="0" applyFont="1" applyFill="1" applyBorder="1" applyAlignment="1">
      <alignment horizontal="center" vertical="center"/>
    </xf>
    <xf numFmtId="0" fontId="3" fillId="7" borderId="18" xfId="0" applyFont="1" applyFill="1" applyBorder="1" applyAlignment="1">
      <alignment horizontal="center" vertical="center" wrapText="1"/>
    </xf>
    <xf numFmtId="0" fontId="3" fillId="7" borderId="23" xfId="0" applyFont="1" applyFill="1" applyBorder="1" applyAlignment="1">
      <alignment horizontal="center" vertical="center" wrapText="1"/>
    </xf>
    <xf numFmtId="0" fontId="34" fillId="0" borderId="14" xfId="0" applyFont="1" applyBorder="1" applyAlignment="1">
      <alignment horizontal="left" indent="2"/>
    </xf>
    <xf numFmtId="0" fontId="34" fillId="0" borderId="0" xfId="0" applyFont="1" applyAlignment="1">
      <alignment horizontal="left" indent="2"/>
    </xf>
    <xf numFmtId="0" fontId="35" fillId="0" borderId="15" xfId="0" applyFont="1" applyBorder="1"/>
    <xf numFmtId="0" fontId="32" fillId="0" borderId="0" xfId="1" applyFont="1" applyBorder="1" applyAlignment="1" applyProtection="1">
      <alignment horizontal="left" indent="2"/>
    </xf>
    <xf numFmtId="164" fontId="3" fillId="6" borderId="89" xfId="0" applyNumberFormat="1" applyFont="1" applyFill="1" applyBorder="1" applyAlignment="1">
      <alignment horizontal="center" vertical="center" wrapText="1"/>
    </xf>
    <xf numFmtId="164" fontId="3" fillId="8" borderId="89" xfId="0" applyNumberFormat="1" applyFont="1" applyFill="1" applyBorder="1" applyAlignment="1">
      <alignment horizontal="center" vertical="center" wrapText="1"/>
    </xf>
    <xf numFmtId="0" fontId="3" fillId="0" borderId="54" xfId="0" applyFont="1" applyBorder="1"/>
    <xf numFmtId="0" fontId="8" fillId="0" borderId="0" xfId="1" applyFont="1" applyBorder="1" applyAlignment="1" applyProtection="1">
      <alignment horizontal="justify" vertical="top" wrapText="1"/>
    </xf>
    <xf numFmtId="164" fontId="8" fillId="6" borderId="33" xfId="0" applyNumberFormat="1" applyFont="1" applyFill="1" applyBorder="1" applyAlignment="1">
      <alignment horizontal="center" vertical="center"/>
    </xf>
    <xf numFmtId="164" fontId="3" fillId="8" borderId="34" xfId="0" applyNumberFormat="1" applyFont="1" applyFill="1" applyBorder="1" applyAlignment="1">
      <alignment horizontal="center" vertical="center"/>
    </xf>
    <xf numFmtId="164" fontId="3" fillId="6" borderId="33" xfId="0" applyNumberFormat="1" applyFont="1" applyFill="1" applyBorder="1" applyAlignment="1">
      <alignment horizontal="center" vertical="center"/>
    </xf>
    <xf numFmtId="164" fontId="3" fillId="0" borderId="33" xfId="0" applyNumberFormat="1" applyFont="1" applyBorder="1" applyAlignment="1">
      <alignment horizontal="center" vertical="center"/>
    </xf>
    <xf numFmtId="164" fontId="3" fillId="0" borderId="34" xfId="0" applyNumberFormat="1" applyFont="1" applyBorder="1" applyAlignment="1">
      <alignment horizontal="center" vertical="center"/>
    </xf>
    <xf numFmtId="164" fontId="3" fillId="0" borderId="47" xfId="0" applyNumberFormat="1" applyFont="1" applyBorder="1" applyAlignment="1">
      <alignment horizontal="center" vertical="center"/>
    </xf>
    <xf numFmtId="164" fontId="3" fillId="0" borderId="49" xfId="0" applyNumberFormat="1" applyFont="1" applyBorder="1" applyAlignment="1">
      <alignment horizontal="center" vertical="center"/>
    </xf>
    <xf numFmtId="164" fontId="8" fillId="14" borderId="8" xfId="0" applyNumberFormat="1" applyFont="1" applyFill="1" applyBorder="1" applyAlignment="1">
      <alignment vertical="center" wrapText="1"/>
    </xf>
    <xf numFmtId="164" fontId="8" fillId="14" borderId="34" xfId="0" applyNumberFormat="1" applyFont="1" applyFill="1" applyBorder="1" applyAlignment="1">
      <alignment vertical="center" wrapText="1"/>
    </xf>
    <xf numFmtId="164" fontId="8" fillId="3" borderId="8" xfId="0" applyNumberFormat="1" applyFont="1" applyFill="1" applyBorder="1" applyAlignment="1">
      <alignment vertical="center" wrapText="1"/>
    </xf>
    <xf numFmtId="164" fontId="8" fillId="3" borderId="8" xfId="0" applyNumberFormat="1" applyFont="1" applyFill="1" applyBorder="1" applyAlignment="1">
      <alignment vertical="center"/>
    </xf>
    <xf numFmtId="164" fontId="8" fillId="3" borderId="34" xfId="0" applyNumberFormat="1" applyFont="1" applyFill="1" applyBorder="1" applyAlignment="1">
      <alignment vertical="center" wrapText="1"/>
    </xf>
    <xf numFmtId="14" fontId="57" fillId="0" borderId="8" xfId="0" quotePrefix="1" applyNumberFormat="1" applyFont="1" applyBorder="1" applyAlignment="1">
      <alignment horizontal="center" vertical="center" wrapText="1"/>
    </xf>
    <xf numFmtId="0" fontId="8" fillId="11" borderId="27" xfId="0" applyFont="1" applyFill="1" applyBorder="1" applyAlignment="1">
      <alignment horizontal="center" vertical="center" wrapText="1"/>
    </xf>
    <xf numFmtId="0" fontId="8" fillId="0" borderId="90" xfId="0" applyFont="1" applyBorder="1" applyAlignment="1">
      <alignment horizontal="center" vertical="center" wrapText="1"/>
    </xf>
    <xf numFmtId="0" fontId="8" fillId="12" borderId="14" xfId="0" applyFont="1" applyFill="1" applyBorder="1" applyAlignment="1">
      <alignment horizontal="center" vertical="center" wrapText="1"/>
    </xf>
    <xf numFmtId="0" fontId="8" fillId="13" borderId="14"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6" borderId="87" xfId="0" applyFont="1" applyFill="1" applyBorder="1" applyAlignment="1">
      <alignment horizontal="center" vertical="center" wrapText="1"/>
    </xf>
    <xf numFmtId="0" fontId="8" fillId="11" borderId="0" xfId="0" applyFont="1" applyFill="1" applyAlignment="1">
      <alignment horizontal="center" vertical="center" wrapText="1"/>
    </xf>
    <xf numFmtId="0" fontId="8" fillId="12" borderId="0" xfId="0" applyFont="1" applyFill="1" applyAlignment="1">
      <alignment horizontal="center" vertical="center" wrapText="1"/>
    </xf>
    <xf numFmtId="0" fontId="8" fillId="13" borderId="0" xfId="0" applyFont="1" applyFill="1" applyAlignment="1">
      <alignment horizontal="center" vertical="center" wrapText="1"/>
    </xf>
    <xf numFmtId="0" fontId="8" fillId="0" borderId="0" xfId="0" applyFont="1" applyAlignment="1">
      <alignment horizontal="center" vertical="center" wrapText="1"/>
    </xf>
    <xf numFmtId="0" fontId="8" fillId="3" borderId="0" xfId="0" applyFont="1" applyFill="1" applyAlignment="1">
      <alignment horizontal="center" vertical="center" wrapText="1"/>
    </xf>
    <xf numFmtId="0" fontId="60" fillId="11" borderId="0" xfId="0" applyFont="1" applyFill="1" applyAlignment="1">
      <alignment horizontal="center" vertical="center" wrapText="1"/>
    </xf>
    <xf numFmtId="164" fontId="3" fillId="8" borderId="28" xfId="0" applyNumberFormat="1" applyFont="1" applyFill="1" applyBorder="1" applyAlignment="1">
      <alignment horizontal="center" vertical="center" wrapText="1"/>
    </xf>
    <xf numFmtId="0" fontId="3" fillId="8" borderId="28" xfId="0" applyFont="1" applyFill="1" applyBorder="1" applyAlignment="1">
      <alignment horizontal="center" vertical="center" wrapText="1"/>
    </xf>
    <xf numFmtId="0" fontId="3" fillId="8" borderId="87" xfId="0" applyFont="1" applyFill="1" applyBorder="1" applyAlignment="1">
      <alignment horizontal="center" vertical="center" wrapText="1"/>
    </xf>
    <xf numFmtId="0" fontId="3" fillId="13" borderId="90" xfId="0" applyFont="1" applyFill="1" applyBorder="1"/>
    <xf numFmtId="0" fontId="3" fillId="13" borderId="0" xfId="0" applyFont="1" applyFill="1"/>
    <xf numFmtId="0" fontId="3" fillId="11" borderId="0" xfId="0" applyFont="1" applyFill="1"/>
    <xf numFmtId="0" fontId="3" fillId="11" borderId="17" xfId="0" applyFont="1" applyFill="1" applyBorder="1"/>
    <xf numFmtId="166" fontId="4" fillId="0" borderId="0" xfId="1" applyNumberFormat="1" applyFont="1" applyFill="1" applyBorder="1" applyAlignment="1" applyProtection="1">
      <alignment horizontal="left"/>
    </xf>
    <xf numFmtId="0" fontId="3" fillId="13" borderId="28" xfId="0" applyFont="1" applyFill="1" applyBorder="1"/>
    <xf numFmtId="164" fontId="31" fillId="5" borderId="8" xfId="0" applyNumberFormat="1" applyFont="1" applyFill="1" applyBorder="1" applyAlignment="1">
      <alignment horizontal="right" vertical="center"/>
    </xf>
    <xf numFmtId="164" fontId="31" fillId="5" borderId="48" xfId="0" applyNumberFormat="1" applyFont="1" applyFill="1" applyBorder="1" applyAlignment="1">
      <alignment horizontal="right" vertical="center"/>
    </xf>
    <xf numFmtId="0" fontId="31" fillId="15" borderId="8" xfId="0" applyFont="1" applyFill="1" applyBorder="1"/>
    <xf numFmtId="0" fontId="31" fillId="5" borderId="8" xfId="0" applyFont="1" applyFill="1" applyBorder="1"/>
    <xf numFmtId="166" fontId="31" fillId="5" borderId="8" xfId="0" applyNumberFormat="1" applyFont="1" applyFill="1" applyBorder="1"/>
    <xf numFmtId="0" fontId="31" fillId="0" borderId="8" xfId="0" applyFont="1" applyBorder="1"/>
    <xf numFmtId="166" fontId="31" fillId="0" borderId="8" xfId="0" applyNumberFormat="1" applyFont="1" applyBorder="1"/>
    <xf numFmtId="0" fontId="34" fillId="3" borderId="14" xfId="0" applyFont="1" applyFill="1" applyBorder="1" applyAlignment="1">
      <alignment horizontal="left" wrapText="1" indent="2"/>
    </xf>
    <xf numFmtId="0" fontId="34" fillId="3" borderId="0" xfId="0" applyFont="1" applyFill="1" applyAlignment="1">
      <alignment horizontal="left" wrapText="1" indent="2"/>
    </xf>
    <xf numFmtId="0" fontId="33" fillId="3" borderId="15" xfId="0" applyFont="1" applyFill="1" applyBorder="1"/>
    <xf numFmtId="0" fontId="32" fillId="3" borderId="0" xfId="1" applyFont="1" applyFill="1" applyAlignment="1">
      <alignment horizontal="left" wrapText="1" indent="2"/>
    </xf>
    <xf numFmtId="0" fontId="31" fillId="3" borderId="8" xfId="0" applyFont="1" applyFill="1" applyBorder="1"/>
    <xf numFmtId="166" fontId="31" fillId="3" borderId="8" xfId="0" applyNumberFormat="1" applyFont="1" applyFill="1" applyBorder="1"/>
    <xf numFmtId="0" fontId="31" fillId="0" borderId="8" xfId="0" applyFont="1" applyBorder="1" applyAlignment="1">
      <alignment horizontal="center" vertical="center"/>
    </xf>
    <xf numFmtId="164" fontId="8" fillId="10" borderId="34" xfId="0" applyNumberFormat="1" applyFont="1" applyFill="1" applyBorder="1" applyAlignment="1">
      <alignment horizontal="right" vertical="center"/>
    </xf>
    <xf numFmtId="166" fontId="31" fillId="3" borderId="34" xfId="0" applyNumberFormat="1" applyFont="1" applyFill="1" applyBorder="1"/>
    <xf numFmtId="0" fontId="31" fillId="15" borderId="34" xfId="0" applyFont="1" applyFill="1" applyBorder="1"/>
    <xf numFmtId="166" fontId="31" fillId="5" borderId="34" xfId="0" applyNumberFormat="1" applyFont="1" applyFill="1" applyBorder="1"/>
    <xf numFmtId="166" fontId="31" fillId="0" borderId="34" xfId="0" applyNumberFormat="1" applyFont="1" applyBorder="1"/>
    <xf numFmtId="0" fontId="31" fillId="5" borderId="34" xfId="0" applyFont="1" applyFill="1" applyBorder="1"/>
    <xf numFmtId="0" fontId="3" fillId="0" borderId="47" xfId="0" applyFont="1" applyBorder="1" applyAlignment="1">
      <alignment vertical="center" wrapText="1"/>
    </xf>
    <xf numFmtId="0" fontId="31" fillId="0" borderId="48" xfId="0" applyFont="1" applyBorder="1" applyAlignment="1">
      <alignment horizontal="center" vertical="center"/>
    </xf>
    <xf numFmtId="0" fontId="31" fillId="15" borderId="48" xfId="0" applyFont="1" applyFill="1" applyBorder="1"/>
    <xf numFmtId="0" fontId="31" fillId="15" borderId="49" xfId="0" applyFont="1" applyFill="1" applyBorder="1"/>
    <xf numFmtId="0" fontId="40" fillId="9" borderId="92" xfId="0" applyFont="1" applyFill="1" applyBorder="1" applyAlignment="1">
      <alignment horizontal="center" vertical="center" wrapText="1"/>
    </xf>
    <xf numFmtId="0" fontId="67" fillId="0" borderId="0" xfId="0" applyFont="1"/>
    <xf numFmtId="0" fontId="68" fillId="0" borderId="0" xfId="0" applyFont="1"/>
    <xf numFmtId="0" fontId="8" fillId="5" borderId="8" xfId="0" applyFont="1" applyFill="1" applyBorder="1" applyAlignment="1">
      <alignment horizontal="center" vertical="center"/>
    </xf>
    <xf numFmtId="0" fontId="8" fillId="5" borderId="33"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34" xfId="0" applyFont="1" applyFill="1" applyBorder="1" applyAlignment="1">
      <alignment horizontal="center" vertical="center"/>
    </xf>
    <xf numFmtId="166" fontId="8" fillId="0" borderId="34" xfId="0" applyNumberFormat="1" applyFont="1" applyBorder="1"/>
    <xf numFmtId="0" fontId="3" fillId="4" borderId="47" xfId="0" applyFont="1" applyFill="1" applyBorder="1" applyAlignment="1">
      <alignment vertical="center" wrapText="1"/>
    </xf>
    <xf numFmtId="0" fontId="31" fillId="4" borderId="48" xfId="0" applyFont="1" applyFill="1" applyBorder="1" applyAlignment="1">
      <alignment horizontal="center" vertical="center"/>
    </xf>
    <xf numFmtId="0" fontId="31" fillId="0" borderId="48" xfId="0" applyFont="1" applyBorder="1"/>
    <xf numFmtId="166" fontId="31" fillId="0" borderId="49" xfId="0" applyNumberFormat="1" applyFont="1" applyBorder="1"/>
    <xf numFmtId="0" fontId="31" fillId="0" borderId="36" xfId="0" applyFont="1" applyBorder="1" applyAlignment="1">
      <alignment horizontal="center" vertical="center"/>
    </xf>
    <xf numFmtId="0" fontId="40" fillId="9" borderId="91" xfId="0" applyFont="1" applyFill="1" applyBorder="1" applyAlignment="1">
      <alignment horizontal="center" vertical="center" wrapText="1"/>
    </xf>
    <xf numFmtId="0" fontId="8" fillId="0" borderId="8" xfId="0" applyFont="1" applyBorder="1" applyAlignment="1">
      <alignment horizontal="left" vertical="center"/>
    </xf>
    <xf numFmtId="0" fontId="3" fillId="0" borderId="8" xfId="0" applyFont="1" applyBorder="1" applyAlignment="1">
      <alignment horizontal="left" vertical="center"/>
    </xf>
    <xf numFmtId="0" fontId="3" fillId="3" borderId="0" xfId="0" applyFont="1" applyFill="1" applyAlignment="1">
      <alignment horizontal="right" wrapText="1" indent="1"/>
    </xf>
    <xf numFmtId="0" fontId="65" fillId="0" borderId="43" xfId="0" applyFont="1" applyBorder="1" applyAlignment="1">
      <alignment horizontal="center" vertical="center"/>
    </xf>
    <xf numFmtId="0" fontId="3" fillId="12" borderId="0" xfId="0" applyFont="1" applyFill="1"/>
    <xf numFmtId="0" fontId="8" fillId="0" borderId="8" xfId="0" applyFont="1" applyBorder="1" applyAlignment="1">
      <alignment horizontal="center" vertical="center"/>
    </xf>
    <xf numFmtId="164" fontId="8" fillId="0" borderId="8" xfId="0" applyNumberFormat="1" applyFont="1" applyBorder="1" applyAlignment="1">
      <alignment horizontal="center" vertical="center"/>
    </xf>
    <xf numFmtId="165" fontId="8" fillId="0" borderId="8" xfId="0" applyNumberFormat="1" applyFont="1" applyBorder="1" applyAlignment="1">
      <alignment horizontal="center" vertical="center"/>
    </xf>
    <xf numFmtId="0" fontId="8" fillId="0" borderId="34" xfId="0" applyFont="1" applyBorder="1" applyAlignment="1">
      <alignment horizontal="center" vertical="center"/>
    </xf>
    <xf numFmtId="0" fontId="3" fillId="0" borderId="33" xfId="0" applyFont="1" applyBorder="1" applyAlignment="1">
      <alignment horizontal="left" vertical="center" wrapText="1"/>
    </xf>
    <xf numFmtId="0" fontId="8" fillId="0" borderId="48" xfId="0" applyFont="1" applyBorder="1" applyAlignment="1">
      <alignment horizontal="left" vertical="center"/>
    </xf>
    <xf numFmtId="165" fontId="8" fillId="0" borderId="48" xfId="0" applyNumberFormat="1" applyFont="1" applyBorder="1" applyAlignment="1">
      <alignment horizontal="center" vertical="center"/>
    </xf>
    <xf numFmtId="164" fontId="8" fillId="6" borderId="8" xfId="0" applyNumberFormat="1" applyFont="1" applyFill="1" applyBorder="1" applyAlignment="1">
      <alignment horizontal="right" vertical="center"/>
    </xf>
    <xf numFmtId="164" fontId="8" fillId="6" borderId="34" xfId="0" applyNumberFormat="1" applyFont="1" applyFill="1" applyBorder="1" applyAlignment="1">
      <alignment horizontal="right" vertical="center"/>
    </xf>
    <xf numFmtId="164" fontId="8" fillId="2" borderId="8" xfId="0" applyNumberFormat="1" applyFont="1" applyFill="1" applyBorder="1" applyAlignment="1">
      <alignment horizontal="right" vertical="center"/>
    </xf>
    <xf numFmtId="164" fontId="3" fillId="2" borderId="8" xfId="0" applyNumberFormat="1" applyFont="1" applyFill="1" applyBorder="1" applyAlignment="1">
      <alignment horizontal="right" vertical="center"/>
    </xf>
    <xf numFmtId="164" fontId="8" fillId="8" borderId="8" xfId="0" applyNumberFormat="1" applyFont="1" applyFill="1" applyBorder="1" applyAlignment="1">
      <alignment horizontal="right" vertical="center"/>
    </xf>
    <xf numFmtId="164" fontId="8" fillId="8" borderId="34" xfId="0" applyNumberFormat="1" applyFont="1" applyFill="1" applyBorder="1" applyAlignment="1">
      <alignment horizontal="right" vertical="center"/>
    </xf>
    <xf numFmtId="164" fontId="31" fillId="0" borderId="8" xfId="0" applyNumberFormat="1" applyFont="1" applyBorder="1" applyAlignment="1">
      <alignment horizontal="right" vertical="center"/>
    </xf>
    <xf numFmtId="164" fontId="31" fillId="0" borderId="34" xfId="0" applyNumberFormat="1" applyFont="1" applyBorder="1" applyAlignment="1">
      <alignment horizontal="right" vertical="center"/>
    </xf>
    <xf numFmtId="164" fontId="16" fillId="2" borderId="8" xfId="0" applyNumberFormat="1" applyFont="1" applyFill="1" applyBorder="1" applyAlignment="1">
      <alignment horizontal="right" vertical="center"/>
    </xf>
    <xf numFmtId="168" fontId="8" fillId="10" borderId="8" xfId="0" applyNumberFormat="1" applyFont="1" applyFill="1" applyBorder="1" applyAlignment="1">
      <alignment horizontal="right" vertical="center"/>
    </xf>
    <xf numFmtId="168" fontId="8" fillId="10" borderId="34" xfId="0" applyNumberFormat="1" applyFont="1" applyFill="1" applyBorder="1" applyAlignment="1">
      <alignment horizontal="right" vertical="center"/>
    </xf>
    <xf numFmtId="164" fontId="16" fillId="2" borderId="48" xfId="0" applyNumberFormat="1" applyFont="1" applyFill="1" applyBorder="1" applyAlignment="1">
      <alignment horizontal="right" vertical="center"/>
    </xf>
    <xf numFmtId="164" fontId="8" fillId="6" borderId="48" xfId="0" applyNumberFormat="1" applyFont="1" applyFill="1" applyBorder="1" applyAlignment="1">
      <alignment horizontal="right" vertical="center"/>
    </xf>
    <xf numFmtId="164" fontId="31" fillId="0" borderId="48" xfId="0" applyNumberFormat="1" applyFont="1" applyBorder="1" applyAlignment="1">
      <alignment horizontal="right" vertical="center"/>
    </xf>
    <xf numFmtId="164" fontId="31" fillId="0" borderId="49" xfId="0" applyNumberFormat="1" applyFont="1" applyBorder="1" applyAlignment="1">
      <alignment horizontal="right" vertical="center"/>
    </xf>
    <xf numFmtId="164" fontId="31" fillId="15" borderId="8" xfId="0" applyNumberFormat="1" applyFont="1" applyFill="1" applyBorder="1" applyAlignment="1">
      <alignment horizontal="right" vertical="center"/>
    </xf>
    <xf numFmtId="164" fontId="8" fillId="16" borderId="8" xfId="0" applyNumberFormat="1" applyFont="1" applyFill="1" applyBorder="1" applyAlignment="1">
      <alignment horizontal="right" vertical="center"/>
    </xf>
    <xf numFmtId="0" fontId="3" fillId="11" borderId="15" xfId="0" applyFont="1" applyFill="1" applyBorder="1"/>
    <xf numFmtId="0" fontId="3" fillId="11" borderId="18" xfId="0" applyFont="1" applyFill="1" applyBorder="1"/>
    <xf numFmtId="0" fontId="3" fillId="13" borderId="15" xfId="0" applyFont="1" applyFill="1" applyBorder="1"/>
    <xf numFmtId="164" fontId="8" fillId="0" borderId="34" xfId="0" applyNumberFormat="1" applyFont="1" applyBorder="1" applyAlignment="1">
      <alignment horizontal="center" vertical="center"/>
    </xf>
    <xf numFmtId="0" fontId="25" fillId="0" borderId="8" xfId="0" applyFont="1" applyBorder="1" applyAlignment="1">
      <alignment horizontal="center" vertical="center"/>
    </xf>
    <xf numFmtId="166" fontId="3" fillId="5" borderId="8" xfId="0" applyNumberFormat="1" applyFont="1" applyFill="1" applyBorder="1" applyAlignment="1">
      <alignment horizontal="center"/>
    </xf>
    <xf numFmtId="166" fontId="8" fillId="14" borderId="8" xfId="0" applyNumberFormat="1" applyFont="1" applyFill="1" applyBorder="1" applyAlignment="1">
      <alignment horizontal="center"/>
    </xf>
    <xf numFmtId="0" fontId="3" fillId="12" borderId="15" xfId="0" applyFont="1" applyFill="1" applyBorder="1"/>
    <xf numFmtId="0" fontId="16" fillId="12" borderId="0" xfId="0" applyFont="1" applyFill="1"/>
    <xf numFmtId="0" fontId="31" fillId="0" borderId="89" xfId="0" applyFont="1" applyBorder="1"/>
    <xf numFmtId="0" fontId="33" fillId="3" borderId="0" xfId="0" applyFont="1" applyFill="1"/>
    <xf numFmtId="0" fontId="38" fillId="3" borderId="0" xfId="1" applyFont="1" applyFill="1" applyBorder="1" applyAlignment="1" applyProtection="1"/>
    <xf numFmtId="0" fontId="39" fillId="3" borderId="0" xfId="1" applyFont="1" applyFill="1" applyBorder="1" applyAlignment="1" applyProtection="1"/>
    <xf numFmtId="0" fontId="32" fillId="3" borderId="0" xfId="1" applyFont="1" applyFill="1" applyBorder="1" applyAlignment="1" applyProtection="1"/>
    <xf numFmtId="0" fontId="69" fillId="3" borderId="0" xfId="1" applyFont="1" applyFill="1" applyBorder="1" applyAlignment="1" applyProtection="1"/>
    <xf numFmtId="0" fontId="33" fillId="3" borderId="17" xfId="0" applyFont="1" applyFill="1" applyBorder="1"/>
    <xf numFmtId="0" fontId="13" fillId="3" borderId="0" xfId="0" applyFont="1" applyFill="1"/>
    <xf numFmtId="0" fontId="33" fillId="5" borderId="15" xfId="0" applyFont="1" applyFill="1" applyBorder="1"/>
    <xf numFmtId="0" fontId="19" fillId="6" borderId="22" xfId="0" applyFont="1" applyFill="1" applyBorder="1" applyAlignment="1">
      <alignment horizontal="center" vertical="center"/>
    </xf>
    <xf numFmtId="0" fontId="7" fillId="8" borderId="62" xfId="0" applyFont="1" applyFill="1" applyBorder="1" applyAlignment="1">
      <alignment horizontal="center" vertical="center"/>
    </xf>
    <xf numFmtId="0" fontId="19" fillId="6" borderId="24" xfId="0" applyFont="1" applyFill="1" applyBorder="1" applyAlignment="1">
      <alignment horizontal="center" vertical="center" wrapText="1"/>
    </xf>
    <xf numFmtId="0" fontId="7" fillId="8" borderId="54" xfId="0" applyFont="1" applyFill="1" applyBorder="1" applyAlignment="1">
      <alignment horizontal="center" vertical="center" wrapText="1"/>
    </xf>
    <xf numFmtId="169" fontId="28" fillId="6" borderId="24" xfId="0" applyNumberFormat="1" applyFont="1" applyFill="1" applyBorder="1" applyAlignment="1">
      <alignment horizontal="center" vertical="center" wrapText="1"/>
    </xf>
    <xf numFmtId="0" fontId="70" fillId="8" borderId="54" xfId="0" applyFont="1" applyFill="1" applyBorder="1" applyAlignment="1">
      <alignment horizontal="center" vertical="center"/>
    </xf>
    <xf numFmtId="169" fontId="28" fillId="6" borderId="42" xfId="0" applyNumberFormat="1" applyFont="1" applyFill="1" applyBorder="1" applyAlignment="1">
      <alignment horizontal="center" vertical="center" wrapText="1"/>
    </xf>
    <xf numFmtId="0" fontId="70" fillId="8" borderId="67" xfId="0" applyFont="1" applyFill="1" applyBorder="1" applyAlignment="1">
      <alignment horizontal="center" vertical="center" wrapText="1"/>
    </xf>
    <xf numFmtId="0" fontId="25" fillId="0" borderId="53" xfId="0" applyFont="1" applyBorder="1" applyAlignment="1">
      <alignment horizontal="left"/>
    </xf>
    <xf numFmtId="0" fontId="32" fillId="0" borderId="0" xfId="1" applyFont="1" applyFill="1" applyBorder="1" applyAlignment="1">
      <alignment vertical="center" wrapText="1"/>
    </xf>
    <xf numFmtId="0" fontId="69" fillId="0" borderId="0" xfId="1" applyFont="1" applyFill="1" applyBorder="1" applyAlignment="1">
      <alignment vertical="center" wrapText="1"/>
    </xf>
    <xf numFmtId="0" fontId="69" fillId="0" borderId="0" xfId="1" applyFont="1" applyAlignment="1">
      <alignment wrapText="1"/>
    </xf>
    <xf numFmtId="166" fontId="31" fillId="15" borderId="8" xfId="0" applyNumberFormat="1" applyFont="1" applyFill="1" applyBorder="1"/>
    <xf numFmtId="0" fontId="3" fillId="17" borderId="96" xfId="0" applyFont="1" applyFill="1" applyBorder="1"/>
    <xf numFmtId="0" fontId="31" fillId="18" borderId="34" xfId="0" applyFont="1" applyFill="1" applyBorder="1"/>
    <xf numFmtId="164" fontId="8" fillId="3" borderId="8" xfId="0" applyNumberFormat="1" applyFont="1" applyFill="1" applyBorder="1" applyAlignment="1">
      <alignment horizontal="right" vertical="center"/>
    </xf>
    <xf numFmtId="164" fontId="8" fillId="3" borderId="34" xfId="0" applyNumberFormat="1" applyFont="1" applyFill="1" applyBorder="1" applyAlignment="1">
      <alignment horizontal="right" vertical="center"/>
    </xf>
    <xf numFmtId="0" fontId="69" fillId="3" borderId="0" xfId="1" applyFont="1" applyFill="1"/>
    <xf numFmtId="0" fontId="33" fillId="4" borderId="9" xfId="0" applyFont="1" applyFill="1" applyBorder="1" applyAlignment="1">
      <alignment horizontal="center"/>
    </xf>
    <xf numFmtId="0" fontId="33" fillId="4" borderId="10" xfId="0" applyFont="1" applyFill="1" applyBorder="1" applyAlignment="1">
      <alignment horizontal="center"/>
    </xf>
    <xf numFmtId="0" fontId="33" fillId="4" borderId="11" xfId="0" applyFont="1" applyFill="1" applyBorder="1" applyAlignment="1">
      <alignment horizontal="center"/>
    </xf>
    <xf numFmtId="0" fontId="34" fillId="5" borderId="14" xfId="0" applyFont="1" applyFill="1" applyBorder="1" applyAlignment="1">
      <alignment horizontal="center" vertical="center" wrapText="1"/>
    </xf>
    <xf numFmtId="0" fontId="34" fillId="5" borderId="0" xfId="0" applyFont="1" applyFill="1" applyAlignment="1">
      <alignment horizontal="center" vertical="center" wrapText="1"/>
    </xf>
    <xf numFmtId="0" fontId="33" fillId="3" borderId="14" xfId="0" applyFont="1" applyFill="1" applyBorder="1" applyAlignment="1">
      <alignment horizontal="center"/>
    </xf>
    <xf numFmtId="0" fontId="33" fillId="3" borderId="0" xfId="0" applyFont="1" applyFill="1" applyAlignment="1">
      <alignment horizontal="center"/>
    </xf>
    <xf numFmtId="0" fontId="34" fillId="5" borderId="14" xfId="0" applyFont="1" applyFill="1" applyBorder="1" applyAlignment="1">
      <alignment horizontal="left" indent="2"/>
    </xf>
    <xf numFmtId="0" fontId="34" fillId="5" borderId="0" xfId="0" applyFont="1" applyFill="1" applyAlignment="1">
      <alignment horizontal="left" indent="2"/>
    </xf>
    <xf numFmtId="0" fontId="34" fillId="5" borderId="14" xfId="0" applyFont="1" applyFill="1" applyBorder="1" applyAlignment="1">
      <alignment horizontal="left" wrapText="1" indent="2"/>
    </xf>
    <xf numFmtId="0" fontId="34" fillId="5" borderId="0" xfId="0" applyFont="1" applyFill="1" applyAlignment="1">
      <alignment horizontal="left" wrapText="1" indent="2"/>
    </xf>
    <xf numFmtId="0" fontId="40" fillId="7" borderId="59" xfId="0" applyFont="1" applyFill="1" applyBorder="1" applyAlignment="1">
      <alignment horizontal="right" vertical="center" wrapText="1"/>
    </xf>
    <xf numFmtId="0" fontId="40" fillId="7" borderId="6" xfId="0" applyFont="1" applyFill="1" applyBorder="1" applyAlignment="1">
      <alignment horizontal="right" vertical="center" wrapText="1"/>
    </xf>
    <xf numFmtId="0" fontId="40" fillId="7" borderId="60" xfId="0" applyFont="1" applyFill="1" applyBorder="1" applyAlignment="1">
      <alignment horizontal="right" vertical="center" wrapText="1"/>
    </xf>
    <xf numFmtId="0" fontId="3" fillId="3" borderId="55" xfId="0" applyFont="1" applyFill="1" applyBorder="1" applyAlignment="1">
      <alignment horizontal="right" vertical="center" wrapText="1"/>
    </xf>
    <xf numFmtId="0" fontId="3" fillId="3" borderId="56" xfId="0" applyFont="1" applyFill="1" applyBorder="1" applyAlignment="1">
      <alignment horizontal="right" vertical="center" wrapText="1"/>
    </xf>
    <xf numFmtId="0" fontId="40" fillId="7" borderId="50" xfId="0" applyFont="1" applyFill="1" applyBorder="1" applyAlignment="1">
      <alignment horizontal="left" vertical="center" wrapText="1"/>
    </xf>
    <xf numFmtId="0" fontId="40" fillId="7" borderId="51" xfId="0" applyFont="1" applyFill="1" applyBorder="1" applyAlignment="1">
      <alignment horizontal="left" vertical="center" wrapText="1"/>
    </xf>
    <xf numFmtId="0" fontId="40" fillId="7" borderId="52" xfId="0" applyFont="1" applyFill="1" applyBorder="1" applyAlignment="1">
      <alignment horizontal="left" vertical="center" wrapText="1"/>
    </xf>
    <xf numFmtId="0" fontId="40" fillId="7" borderId="53" xfId="0" applyFont="1" applyFill="1" applyBorder="1" applyAlignment="1">
      <alignment horizontal="right" vertical="center" wrapText="1"/>
    </xf>
    <xf numFmtId="0" fontId="40" fillId="7" borderId="0" xfId="0" applyFont="1" applyFill="1" applyAlignment="1">
      <alignment horizontal="right" vertical="center" wrapText="1"/>
    </xf>
    <xf numFmtId="0" fontId="40" fillId="7" borderId="54" xfId="0" applyFont="1" applyFill="1" applyBorder="1" applyAlignment="1">
      <alignment horizontal="right"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25" fillId="3" borderId="57" xfId="0" applyFont="1" applyFill="1" applyBorder="1" applyAlignment="1">
      <alignment horizontal="right" vertical="center" wrapText="1"/>
    </xf>
    <xf numFmtId="0" fontId="25" fillId="3" borderId="58" xfId="0" applyFont="1" applyFill="1" applyBorder="1" applyAlignment="1">
      <alignment horizontal="right" vertical="center" wrapText="1"/>
    </xf>
    <xf numFmtId="0" fontId="8" fillId="3" borderId="22"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3" fillId="6" borderId="78" xfId="0" applyFont="1" applyFill="1" applyBorder="1" applyAlignment="1">
      <alignment horizontal="center" vertical="center" wrapText="1"/>
    </xf>
    <xf numFmtId="0" fontId="3" fillId="6" borderId="79" xfId="0" applyFont="1" applyFill="1" applyBorder="1" applyAlignment="1">
      <alignment horizontal="center" vertical="center" wrapText="1"/>
    </xf>
    <xf numFmtId="0" fontId="3" fillId="8" borderId="69" xfId="0" applyFont="1" applyFill="1" applyBorder="1" applyAlignment="1">
      <alignment horizontal="center" vertical="center" wrapText="1"/>
    </xf>
    <xf numFmtId="0" fontId="3" fillId="8" borderId="80" xfId="0" applyFont="1" applyFill="1" applyBorder="1" applyAlignment="1">
      <alignment horizontal="center" vertical="center" wrapText="1"/>
    </xf>
    <xf numFmtId="0" fontId="3" fillId="3" borderId="33" xfId="0" applyFont="1" applyFill="1" applyBorder="1" applyAlignment="1">
      <alignment horizontal="right" vertical="center" wrapText="1"/>
    </xf>
    <xf numFmtId="0" fontId="3" fillId="3" borderId="35" xfId="0" applyFont="1" applyFill="1" applyBorder="1" applyAlignment="1">
      <alignment horizontal="right" vertical="center" wrapText="1"/>
    </xf>
    <xf numFmtId="0" fontId="25" fillId="3" borderId="39" xfId="0" applyFont="1" applyFill="1" applyBorder="1" applyAlignment="1">
      <alignment horizontal="right" vertical="center" wrapText="1"/>
    </xf>
    <xf numFmtId="0" fontId="25" fillId="3" borderId="37" xfId="0" applyFont="1" applyFill="1" applyBorder="1" applyAlignment="1">
      <alignment horizontal="right" vertical="center" wrapText="1"/>
    </xf>
    <xf numFmtId="0" fontId="3" fillId="3" borderId="39" xfId="0" applyFont="1" applyFill="1" applyBorder="1" applyAlignment="1">
      <alignment horizontal="right" vertical="center" wrapText="1"/>
    </xf>
    <xf numFmtId="0" fontId="3" fillId="6" borderId="2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25" fillId="6" borderId="42" xfId="0" applyFont="1" applyFill="1" applyBorder="1" applyAlignment="1">
      <alignment horizontal="center" vertical="center" wrapText="1"/>
    </xf>
    <xf numFmtId="0" fontId="25" fillId="6" borderId="43" xfId="0" applyFont="1" applyFill="1" applyBorder="1" applyAlignment="1">
      <alignment horizontal="center" vertical="center" wrapText="1"/>
    </xf>
    <xf numFmtId="0" fontId="26" fillId="3" borderId="35" xfId="0" applyFont="1" applyFill="1" applyBorder="1" applyAlignment="1">
      <alignment horizontal="right" vertical="center" wrapText="1"/>
    </xf>
    <xf numFmtId="0" fontId="26" fillId="3" borderId="41" xfId="0" applyFont="1" applyFill="1" applyBorder="1" applyAlignment="1">
      <alignment horizontal="right" vertical="center" wrapText="1"/>
    </xf>
    <xf numFmtId="0" fontId="8" fillId="0" borderId="8" xfId="0" applyFont="1" applyBorder="1" applyAlignment="1">
      <alignment horizontal="left" vertical="center"/>
    </xf>
    <xf numFmtId="0" fontId="25" fillId="0" borderId="53" xfId="0" applyFont="1" applyBorder="1" applyAlignment="1">
      <alignment horizontal="left"/>
    </xf>
    <xf numFmtId="0" fontId="25" fillId="0" borderId="0" xfId="0" applyFont="1" applyAlignment="1">
      <alignment horizontal="left"/>
    </xf>
    <xf numFmtId="0" fontId="8" fillId="0" borderId="33" xfId="0" applyFont="1" applyBorder="1" applyAlignment="1">
      <alignment vertical="center" wrapText="1"/>
    </xf>
    <xf numFmtId="0" fontId="8" fillId="0" borderId="33" xfId="0" applyFont="1" applyBorder="1" applyAlignment="1">
      <alignment vertical="center"/>
    </xf>
    <xf numFmtId="0" fontId="3" fillId="0" borderId="33" xfId="0" applyFont="1" applyBorder="1" applyAlignment="1">
      <alignment vertical="center" wrapText="1"/>
    </xf>
    <xf numFmtId="0" fontId="3" fillId="0" borderId="33" xfId="0" applyFont="1" applyBorder="1" applyAlignment="1">
      <alignment vertical="center"/>
    </xf>
    <xf numFmtId="0" fontId="25" fillId="0" borderId="0" xfId="0" applyFont="1" applyAlignment="1">
      <alignment horizontal="left" wrapText="1"/>
    </xf>
    <xf numFmtId="0" fontId="3" fillId="0" borderId="33" xfId="0" applyFont="1" applyBorder="1" applyAlignment="1">
      <alignment horizontal="center" vertical="center" wrapText="1"/>
    </xf>
    <xf numFmtId="0" fontId="8" fillId="0" borderId="8" xfId="0" applyFont="1" applyBorder="1" applyAlignment="1">
      <alignment horizontal="center" vertical="center" wrapText="1"/>
    </xf>
    <xf numFmtId="0" fontId="3" fillId="0" borderId="8" xfId="0" applyFont="1" applyBorder="1" applyAlignment="1">
      <alignment horizontal="left" vertical="center"/>
    </xf>
    <xf numFmtId="0" fontId="40" fillId="9" borderId="44" xfId="0" applyFont="1" applyFill="1" applyBorder="1" applyAlignment="1">
      <alignment horizontal="left" vertical="center" wrapText="1"/>
    </xf>
    <xf numFmtId="0" fontId="40" fillId="9" borderId="45" xfId="0" applyFont="1" applyFill="1" applyBorder="1" applyAlignment="1">
      <alignment horizontal="left" vertical="center" wrapText="1"/>
    </xf>
    <xf numFmtId="0" fontId="40" fillId="9" borderId="46" xfId="0" applyFont="1" applyFill="1" applyBorder="1" applyAlignment="1">
      <alignment horizontal="left" vertical="center" wrapText="1"/>
    </xf>
    <xf numFmtId="0" fontId="26" fillId="0" borderId="87" xfId="0" applyFont="1" applyBorder="1" applyAlignment="1">
      <alignment horizontal="center" vertical="center" wrapText="1"/>
    </xf>
    <xf numFmtId="0" fontId="26" fillId="0" borderId="88" xfId="0" applyFont="1" applyBorder="1" applyAlignment="1">
      <alignment horizontal="center" vertical="center" wrapText="1"/>
    </xf>
    <xf numFmtId="0" fontId="26" fillId="0" borderId="84" xfId="0" applyFont="1" applyBorder="1" applyAlignment="1">
      <alignment horizontal="center" vertical="center" wrapText="1"/>
    </xf>
    <xf numFmtId="0" fontId="8" fillId="0" borderId="87" xfId="0" applyFont="1" applyBorder="1" applyAlignment="1">
      <alignment horizontal="center" vertical="center" wrapText="1"/>
    </xf>
    <xf numFmtId="0" fontId="8" fillId="0" borderId="88" xfId="0" applyFont="1" applyBorder="1" applyAlignment="1">
      <alignment horizontal="center" vertical="center" wrapText="1"/>
    </xf>
    <xf numFmtId="0" fontId="28" fillId="0" borderId="53" xfId="0" applyFont="1" applyBorder="1" applyAlignment="1">
      <alignment horizontal="left"/>
    </xf>
    <xf numFmtId="0" fontId="28" fillId="0" borderId="0" xfId="0" applyFont="1" applyAlignment="1">
      <alignment horizontal="left"/>
    </xf>
    <xf numFmtId="0" fontId="3" fillId="0" borderId="0" xfId="0" applyFont="1" applyAlignment="1">
      <alignment horizontal="left" vertical="center"/>
    </xf>
    <xf numFmtId="0" fontId="3" fillId="8" borderId="8"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8" fillId="0" borderId="8" xfId="0" applyFont="1" applyBorder="1" applyAlignment="1">
      <alignment horizontal="left" vertical="center" wrapText="1"/>
    </xf>
    <xf numFmtId="0" fontId="8" fillId="0" borderId="33" xfId="0" applyFont="1" applyBorder="1" applyAlignment="1">
      <alignment horizontal="left" vertical="center" wrapText="1"/>
    </xf>
    <xf numFmtId="0" fontId="8" fillId="0" borderId="33" xfId="0" applyFont="1" applyBorder="1" applyAlignment="1">
      <alignment horizontal="left" vertical="center"/>
    </xf>
    <xf numFmtId="0" fontId="3" fillId="0" borderId="33" xfId="0" applyFont="1" applyBorder="1" applyAlignment="1">
      <alignment horizontal="center" vertical="center"/>
    </xf>
    <xf numFmtId="0" fontId="3" fillId="6" borderId="8" xfId="0" applyFont="1" applyFill="1" applyBorder="1" applyAlignment="1">
      <alignment horizontal="center" vertical="center" wrapText="1"/>
    </xf>
    <xf numFmtId="0" fontId="25" fillId="0" borderId="53" xfId="0" applyFont="1" applyBorder="1" applyAlignment="1">
      <alignment horizontal="left" wrapText="1"/>
    </xf>
    <xf numFmtId="0" fontId="43" fillId="0" borderId="0" xfId="0" applyFont="1" applyAlignment="1">
      <alignment horizontal="left" vertical="center" wrapText="1"/>
    </xf>
    <xf numFmtId="0" fontId="3" fillId="0" borderId="50" xfId="0" applyFont="1" applyBorder="1" applyAlignment="1">
      <alignment horizontal="center" vertical="center"/>
    </xf>
    <xf numFmtId="0" fontId="3" fillId="0" borderId="52" xfId="0" applyFont="1" applyBorder="1" applyAlignment="1">
      <alignment horizontal="center" vertical="center"/>
    </xf>
    <xf numFmtId="173" fontId="8" fillId="0" borderId="74" xfId="0" applyNumberFormat="1" applyFont="1" applyBorder="1" applyAlignment="1">
      <alignment horizontal="center" vertical="center"/>
    </xf>
    <xf numFmtId="173" fontId="8" fillId="0" borderId="75" xfId="0" applyNumberFormat="1" applyFont="1" applyBorder="1" applyAlignment="1">
      <alignment horizontal="center" vertical="center"/>
    </xf>
    <xf numFmtId="0" fontId="3" fillId="3" borderId="22" xfId="0" applyFont="1" applyFill="1" applyBorder="1" applyAlignment="1">
      <alignment horizontal="center" vertical="center" wrapText="1"/>
    </xf>
    <xf numFmtId="0" fontId="3" fillId="3" borderId="36" xfId="0" applyFont="1" applyFill="1" applyBorder="1" applyAlignment="1">
      <alignment horizontal="center" vertical="center" wrapText="1"/>
    </xf>
    <xf numFmtId="173" fontId="3" fillId="0" borderId="76" xfId="0" applyNumberFormat="1" applyFont="1" applyBorder="1" applyAlignment="1">
      <alignment horizontal="center" vertical="center"/>
    </xf>
    <xf numFmtId="173" fontId="3" fillId="0" borderId="77" xfId="0" applyNumberFormat="1" applyFont="1" applyBorder="1" applyAlignment="1">
      <alignment horizontal="center" vertical="center"/>
    </xf>
    <xf numFmtId="0" fontId="40" fillId="3" borderId="22" xfId="0" applyFont="1" applyFill="1" applyBorder="1" applyAlignment="1">
      <alignment horizontal="justify" vertical="center" wrapText="1"/>
    </xf>
    <xf numFmtId="0" fontId="40" fillId="3" borderId="24" xfId="0" applyFont="1" applyFill="1" applyBorder="1" applyAlignment="1">
      <alignment horizontal="justify" vertical="center"/>
    </xf>
    <xf numFmtId="0" fontId="8" fillId="0" borderId="22"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42" xfId="0" applyFont="1" applyBorder="1" applyAlignment="1">
      <alignment horizontal="center" vertical="center" wrapText="1"/>
    </xf>
    <xf numFmtId="0" fontId="3" fillId="3" borderId="22" xfId="0" applyFont="1" applyFill="1" applyBorder="1" applyAlignment="1">
      <alignment horizontal="justify" vertical="center" wrapText="1"/>
    </xf>
    <xf numFmtId="0" fontId="3" fillId="3" borderId="24" xfId="0" applyFont="1" applyFill="1" applyBorder="1" applyAlignment="1">
      <alignment horizontal="justify" vertical="center" wrapText="1"/>
    </xf>
    <xf numFmtId="0" fontId="3" fillId="0" borderId="2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3" xfId="0" applyFont="1" applyBorder="1" applyAlignment="1">
      <alignment horizontal="center" vertical="center" wrapText="1"/>
    </xf>
    <xf numFmtId="0" fontId="25" fillId="3" borderId="23" xfId="0" applyFont="1" applyFill="1" applyBorder="1" applyAlignment="1">
      <alignment horizontal="center" vertical="center" wrapText="1"/>
    </xf>
    <xf numFmtId="0" fontId="25" fillId="3" borderId="38" xfId="0" applyFont="1" applyFill="1" applyBorder="1" applyAlignment="1">
      <alignment horizontal="center" vertical="center" wrapText="1"/>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44" fillId="0" borderId="7" xfId="0" applyFont="1" applyBorder="1" applyAlignment="1">
      <alignment horizontal="left" vertical="center" wrapText="1"/>
    </xf>
    <xf numFmtId="0" fontId="33" fillId="0" borderId="35" xfId="0" applyFont="1" applyBorder="1" applyAlignment="1">
      <alignment horizontal="center" vertical="top"/>
    </xf>
    <xf numFmtId="0" fontId="33" fillId="0" borderId="39" xfId="0" applyFont="1" applyBorder="1" applyAlignment="1">
      <alignment horizontal="center" vertical="top"/>
    </xf>
    <xf numFmtId="0" fontId="33" fillId="0" borderId="37" xfId="0" applyFont="1" applyBorder="1" applyAlignment="1">
      <alignment horizontal="center" vertical="top"/>
    </xf>
    <xf numFmtId="0" fontId="38" fillId="0" borderId="0" xfId="1" applyFont="1" applyFill="1" applyBorder="1" applyAlignment="1" applyProtection="1">
      <alignment horizontal="left" vertical="center"/>
    </xf>
    <xf numFmtId="0" fontId="40" fillId="7" borderId="30" xfId="0" applyFont="1" applyFill="1" applyBorder="1" applyAlignment="1">
      <alignment horizontal="left" vertical="center" wrapText="1"/>
    </xf>
    <xf numFmtId="0" fontId="40" fillId="7" borderId="31" xfId="0" applyFont="1" applyFill="1" applyBorder="1" applyAlignment="1">
      <alignment horizontal="left" vertical="center"/>
    </xf>
    <xf numFmtId="0" fontId="40" fillId="7" borderId="32" xfId="0" applyFont="1" applyFill="1" applyBorder="1" applyAlignment="1">
      <alignment horizontal="left" vertical="center"/>
    </xf>
    <xf numFmtId="0" fontId="8" fillId="7" borderId="8" xfId="0" applyFont="1" applyFill="1" applyBorder="1" applyAlignment="1">
      <alignment horizontal="center" vertical="center" wrapText="1"/>
    </xf>
    <xf numFmtId="0" fontId="8" fillId="7" borderId="34" xfId="0" applyFont="1" applyFill="1" applyBorder="1" applyAlignment="1">
      <alignment horizontal="center" vertical="center"/>
    </xf>
    <xf numFmtId="0" fontId="3" fillId="0" borderId="33" xfId="0" applyFont="1" applyBorder="1" applyAlignment="1">
      <alignment horizontal="right" vertical="center" wrapText="1"/>
    </xf>
    <xf numFmtId="0" fontId="3" fillId="0" borderId="8" xfId="0" applyFont="1" applyBorder="1" applyAlignment="1">
      <alignment horizontal="right" vertical="center" wrapText="1"/>
    </xf>
    <xf numFmtId="0" fontId="3" fillId="0" borderId="85" xfId="0" applyFont="1" applyBorder="1" applyAlignment="1">
      <alignment horizontal="center" vertical="center"/>
    </xf>
    <xf numFmtId="0" fontId="3" fillId="0" borderId="86" xfId="0" applyFont="1" applyBorder="1" applyAlignment="1">
      <alignment horizontal="center" vertical="center"/>
    </xf>
    <xf numFmtId="0" fontId="33" fillId="0" borderId="41" xfId="0" applyFont="1" applyBorder="1" applyAlignment="1">
      <alignment horizontal="center" vertical="top"/>
    </xf>
    <xf numFmtId="0" fontId="8" fillId="3" borderId="22" xfId="0" applyFont="1" applyFill="1" applyBorder="1" applyAlignment="1">
      <alignment horizontal="justify" vertical="center" wrapText="1"/>
    </xf>
    <xf numFmtId="0" fontId="8" fillId="3" borderId="24" xfId="0" applyFont="1" applyFill="1" applyBorder="1" applyAlignment="1">
      <alignment horizontal="justify" vertical="center" wrapText="1"/>
    </xf>
    <xf numFmtId="0" fontId="8" fillId="0" borderId="23" xfId="0" applyFont="1" applyBorder="1" applyAlignment="1">
      <alignment horizontal="center" vertical="center" wrapText="1"/>
    </xf>
    <xf numFmtId="0" fontId="41" fillId="3" borderId="24" xfId="0" applyFont="1" applyFill="1" applyBorder="1" applyAlignment="1">
      <alignment horizontal="left" vertical="center" wrapText="1"/>
    </xf>
    <xf numFmtId="0" fontId="41" fillId="3" borderId="42" xfId="0" applyFont="1" applyFill="1" applyBorder="1" applyAlignment="1">
      <alignment horizontal="left" vertical="center" wrapText="1"/>
    </xf>
    <xf numFmtId="0" fontId="45" fillId="0" borderId="35" xfId="0" applyFont="1" applyBorder="1" applyAlignment="1">
      <alignment horizontal="center" vertical="top"/>
    </xf>
    <xf numFmtId="0" fontId="45" fillId="0" borderId="39" xfId="0" applyFont="1" applyBorder="1" applyAlignment="1">
      <alignment horizontal="center" vertical="top"/>
    </xf>
    <xf numFmtId="0" fontId="45" fillId="0" borderId="37" xfId="0" applyFont="1" applyBorder="1" applyAlignment="1">
      <alignment horizontal="center" vertical="top"/>
    </xf>
    <xf numFmtId="0" fontId="3" fillId="3" borderId="22"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3" fillId="7" borderId="22" xfId="0" applyFont="1" applyFill="1" applyBorder="1" applyAlignment="1">
      <alignment horizontal="center" vertical="center" wrapText="1"/>
    </xf>
    <xf numFmtId="0" fontId="33" fillId="7" borderId="36" xfId="0" applyFont="1" applyFill="1" applyBorder="1" applyAlignment="1">
      <alignment horizontal="center" vertical="center"/>
    </xf>
    <xf numFmtId="0" fontId="33" fillId="7" borderId="8" xfId="0" applyFont="1" applyFill="1" applyBorder="1" applyAlignment="1">
      <alignment horizontal="center" vertical="center" wrapText="1"/>
    </xf>
    <xf numFmtId="0" fontId="33" fillId="7" borderId="8" xfId="0" applyFont="1" applyFill="1" applyBorder="1" applyAlignment="1">
      <alignment horizontal="center" vertical="center"/>
    </xf>
    <xf numFmtId="0" fontId="3" fillId="3" borderId="0" xfId="0" applyFont="1" applyFill="1" applyAlignment="1">
      <alignment horizontal="left" vertical="center" wrapText="1"/>
    </xf>
    <xf numFmtId="0" fontId="3" fillId="0" borderId="24" xfId="0" applyFont="1" applyBorder="1" applyAlignment="1">
      <alignment horizontal="center" vertical="center"/>
    </xf>
    <xf numFmtId="0" fontId="41" fillId="3" borderId="23" xfId="0" applyFont="1" applyFill="1" applyBorder="1" applyAlignment="1">
      <alignment horizontal="left" vertical="center" wrapText="1"/>
    </xf>
    <xf numFmtId="0" fontId="25" fillId="3" borderId="0" xfId="0" applyFont="1" applyFill="1" applyAlignment="1">
      <alignment horizontal="left" vertical="center" wrapText="1"/>
    </xf>
    <xf numFmtId="0" fontId="25" fillId="3" borderId="64" xfId="0" applyFont="1" applyFill="1" applyBorder="1" applyAlignment="1">
      <alignment horizontal="left" vertical="center" wrapText="1"/>
    </xf>
    <xf numFmtId="0" fontId="38" fillId="0" borderId="0" xfId="1" applyFont="1" applyFill="1" applyBorder="1" applyAlignment="1" applyProtection="1">
      <alignment horizontal="left"/>
    </xf>
    <xf numFmtId="0" fontId="3" fillId="7" borderId="8" xfId="0" applyFont="1" applyFill="1" applyBorder="1" applyAlignment="1">
      <alignment horizontal="center" vertical="center" wrapText="1"/>
    </xf>
    <xf numFmtId="0" fontId="3" fillId="7" borderId="8" xfId="0" applyFont="1" applyFill="1" applyBorder="1" applyAlignment="1">
      <alignment horizontal="center" vertical="center"/>
    </xf>
    <xf numFmtId="0" fontId="45" fillId="0" borderId="55" xfId="0" applyFont="1" applyBorder="1" applyAlignment="1">
      <alignment horizontal="center" vertical="top"/>
    </xf>
    <xf numFmtId="0" fontId="45" fillId="0" borderId="61" xfId="0" applyFont="1" applyBorder="1" applyAlignment="1">
      <alignment horizontal="center" vertical="top"/>
    </xf>
    <xf numFmtId="0" fontId="45" fillId="0" borderId="58" xfId="0" applyFont="1" applyBorder="1" applyAlignment="1">
      <alignment horizontal="center" vertical="top"/>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9"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19" xfId="0" applyFont="1" applyBorder="1" applyAlignment="1">
      <alignment horizontal="center" vertical="center" wrapText="1"/>
    </xf>
    <xf numFmtId="0" fontId="3" fillId="6" borderId="91" xfId="0" applyFont="1" applyFill="1" applyBorder="1" applyAlignment="1">
      <alignment horizontal="center" vertical="center" wrapText="1"/>
    </xf>
    <xf numFmtId="0" fontId="3" fillId="6" borderId="92"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 fillId="10" borderId="47" xfId="0" applyFont="1" applyFill="1" applyBorder="1" applyAlignment="1">
      <alignment horizontal="center" vertical="center"/>
    </xf>
    <xf numFmtId="0" fontId="3" fillId="10" borderId="49" xfId="0" applyFont="1" applyFill="1" applyBorder="1" applyAlignment="1">
      <alignment horizontal="center" vertical="center"/>
    </xf>
    <xf numFmtId="0" fontId="3" fillId="0" borderId="91" xfId="0" applyFont="1" applyBorder="1" applyAlignment="1">
      <alignment horizontal="center" vertical="center"/>
    </xf>
    <xf numFmtId="0" fontId="3" fillId="0" borderId="92" xfId="0" applyFont="1" applyBorder="1" applyAlignment="1">
      <alignment horizontal="center" vertical="center"/>
    </xf>
    <xf numFmtId="2" fontId="3" fillId="6" borderId="33" xfId="0" applyNumberFormat="1" applyFont="1" applyFill="1" applyBorder="1" applyAlignment="1">
      <alignment horizontal="center" vertical="center" wrapText="1"/>
    </xf>
    <xf numFmtId="2" fontId="3" fillId="6" borderId="34" xfId="0" applyNumberFormat="1" applyFont="1" applyFill="1" applyBorder="1" applyAlignment="1">
      <alignment horizontal="center" vertical="center" wrapText="1"/>
    </xf>
    <xf numFmtId="2" fontId="3" fillId="10" borderId="33" xfId="0" applyNumberFormat="1" applyFont="1" applyFill="1" applyBorder="1" applyAlignment="1">
      <alignment horizontal="center" vertical="center"/>
    </xf>
    <xf numFmtId="2" fontId="3" fillId="10" borderId="34" xfId="0" applyNumberFormat="1" applyFont="1" applyFill="1" applyBorder="1" applyAlignment="1">
      <alignment horizontal="center" vertical="center"/>
    </xf>
    <xf numFmtId="164" fontId="8" fillId="6" borderId="33" xfId="0" applyNumberFormat="1" applyFont="1" applyFill="1" applyBorder="1" applyAlignment="1">
      <alignment horizontal="center" vertical="center"/>
    </xf>
    <xf numFmtId="164" fontId="8" fillId="6" borderId="34" xfId="0" applyNumberFormat="1" applyFont="1" applyFill="1" applyBorder="1" applyAlignment="1">
      <alignment horizontal="center" vertical="center"/>
    </xf>
    <xf numFmtId="0" fontId="3" fillId="0" borderId="0" xfId="0" applyFont="1" applyAlignment="1">
      <alignment horizontal="left"/>
    </xf>
    <xf numFmtId="0" fontId="48" fillId="9" borderId="8" xfId="0" applyFont="1" applyFill="1" applyBorder="1" applyAlignment="1">
      <alignment horizontal="center" vertical="center" wrapText="1"/>
    </xf>
    <xf numFmtId="0" fontId="48" fillId="9" borderId="34" xfId="0" applyFont="1" applyFill="1" applyBorder="1" applyAlignment="1">
      <alignment horizontal="center" vertical="center"/>
    </xf>
    <xf numFmtId="0" fontId="41" fillId="3" borderId="93" xfId="0" applyFont="1" applyFill="1" applyBorder="1" applyAlignment="1">
      <alignment horizontal="left" vertical="center" wrapText="1"/>
    </xf>
    <xf numFmtId="0" fontId="41" fillId="3" borderId="94" xfId="0" applyFont="1" applyFill="1" applyBorder="1" applyAlignment="1">
      <alignment horizontal="left" vertical="center" wrapText="1"/>
    </xf>
    <xf numFmtId="0" fontId="25" fillId="3" borderId="15" xfId="0" applyFont="1" applyFill="1" applyBorder="1" applyAlignment="1">
      <alignment horizontal="left" vertical="top" wrapText="1"/>
    </xf>
    <xf numFmtId="0" fontId="25" fillId="3" borderId="18" xfId="0" applyFont="1" applyFill="1" applyBorder="1" applyAlignment="1">
      <alignment horizontal="left" vertical="top" wrapText="1"/>
    </xf>
    <xf numFmtId="0" fontId="3" fillId="3" borderId="24"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8" borderId="72" xfId="0" applyFont="1" applyFill="1" applyBorder="1" applyAlignment="1">
      <alignment horizontal="center" vertical="center" wrapText="1"/>
    </xf>
    <xf numFmtId="0" fontId="3" fillId="8" borderId="73" xfId="0" applyFont="1" applyFill="1" applyBorder="1" applyAlignment="1">
      <alignment horizontal="center" vertical="center" wrapText="1"/>
    </xf>
    <xf numFmtId="0" fontId="40" fillId="3" borderId="3" xfId="0" applyFont="1" applyFill="1" applyBorder="1" applyAlignment="1">
      <alignment horizontal="left" vertical="center" wrapText="1"/>
    </xf>
    <xf numFmtId="0" fontId="40" fillId="3" borderId="2" xfId="0" applyFont="1" applyFill="1" applyBorder="1" applyAlignment="1">
      <alignment horizontal="left" vertical="center" wrapText="1"/>
    </xf>
    <xf numFmtId="0" fontId="3" fillId="6" borderId="70" xfId="0" applyFont="1" applyFill="1" applyBorder="1" applyAlignment="1">
      <alignment horizontal="center" vertical="center" wrapText="1"/>
    </xf>
    <xf numFmtId="0" fontId="3" fillId="6" borderId="71" xfId="0" applyFont="1" applyFill="1" applyBorder="1" applyAlignment="1">
      <alignment horizontal="center" vertical="center" wrapText="1"/>
    </xf>
    <xf numFmtId="0" fontId="8" fillId="3" borderId="28" xfId="0" applyFont="1" applyFill="1" applyBorder="1" applyAlignment="1">
      <alignment horizontal="left" vertical="center" wrapText="1"/>
    </xf>
    <xf numFmtId="0" fontId="8" fillId="3" borderId="15" xfId="0" applyFont="1" applyFill="1" applyBorder="1" applyAlignment="1">
      <alignment horizontal="left" vertical="center" wrapText="1"/>
    </xf>
    <xf numFmtId="0" fontId="41" fillId="3" borderId="3" xfId="0" applyFont="1" applyFill="1" applyBorder="1" applyAlignment="1">
      <alignment horizontal="left" vertical="top" wrapText="1"/>
    </xf>
    <xf numFmtId="0" fontId="41" fillId="3" borderId="2" xfId="0" applyFont="1" applyFill="1" applyBorder="1" applyAlignment="1">
      <alignment horizontal="left" vertical="top" wrapText="1"/>
    </xf>
    <xf numFmtId="0" fontId="3" fillId="3" borderId="28"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8" fillId="3" borderId="22"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23" xfId="0" applyFont="1" applyFill="1" applyBorder="1" applyAlignment="1">
      <alignment horizontal="center" vertical="center"/>
    </xf>
    <xf numFmtId="0" fontId="40" fillId="3" borderId="3" xfId="0" applyFont="1" applyFill="1" applyBorder="1" applyAlignment="1">
      <alignment horizontal="left" vertical="top" wrapText="1"/>
    </xf>
    <xf numFmtId="0" fontId="40" fillId="3" borderId="2" xfId="0" applyFont="1" applyFill="1" applyBorder="1" applyAlignment="1">
      <alignment horizontal="left" vertical="top" wrapText="1"/>
    </xf>
    <xf numFmtId="0" fontId="3" fillId="7" borderId="16"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7" borderId="87" xfId="0" applyFont="1" applyFill="1" applyBorder="1" applyAlignment="1">
      <alignment horizontal="center" vertical="center" wrapText="1"/>
    </xf>
    <xf numFmtId="0" fontId="3" fillId="7" borderId="88" xfId="0" applyFont="1" applyFill="1" applyBorder="1" applyAlignment="1">
      <alignment horizontal="center" vertical="center" wrapText="1"/>
    </xf>
    <xf numFmtId="0" fontId="3" fillId="7" borderId="89" xfId="0" applyFont="1" applyFill="1" applyBorder="1" applyAlignment="1">
      <alignment horizontal="center" vertical="center" wrapText="1"/>
    </xf>
    <xf numFmtId="0" fontId="40" fillId="7" borderId="87" xfId="0" applyFont="1" applyFill="1" applyBorder="1" applyAlignment="1">
      <alignment horizontal="left" wrapText="1"/>
    </xf>
    <xf numFmtId="0" fontId="40" fillId="7" borderId="88" xfId="0" applyFont="1" applyFill="1" applyBorder="1" applyAlignment="1">
      <alignment horizontal="left" wrapText="1"/>
    </xf>
    <xf numFmtId="0" fontId="40" fillId="7" borderId="89" xfId="0" applyFont="1" applyFill="1" applyBorder="1" applyAlignment="1">
      <alignment horizontal="left" wrapText="1"/>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 fillId="3" borderId="27" xfId="0" applyFont="1" applyFill="1" applyBorder="1" applyAlignment="1">
      <alignment horizontal="center" vertical="center" wrapText="1"/>
    </xf>
    <xf numFmtId="0" fontId="3" fillId="3" borderId="90"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25" fillId="3" borderId="16" xfId="0" applyFont="1" applyFill="1" applyBorder="1" applyAlignment="1">
      <alignment horizontal="center" vertical="center" wrapText="1"/>
    </xf>
    <xf numFmtId="0" fontId="25" fillId="3" borderId="17" xfId="0" applyFont="1" applyFill="1" applyBorder="1" applyAlignment="1">
      <alignment horizontal="center" vertical="center" wrapText="1"/>
    </xf>
    <xf numFmtId="0" fontId="25" fillId="3" borderId="1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5" xfId="0" applyFont="1" applyFill="1" applyBorder="1" applyAlignment="1">
      <alignment horizontal="center" vertical="center" wrapText="1"/>
    </xf>
    <xf numFmtId="0" fontId="3" fillId="6" borderId="87" xfId="0" applyFont="1" applyFill="1" applyBorder="1" applyAlignment="1">
      <alignment horizontal="center" vertical="center" wrapText="1"/>
    </xf>
    <xf numFmtId="0" fontId="3" fillId="6" borderId="89" xfId="0" applyFont="1" applyFill="1" applyBorder="1" applyAlignment="1">
      <alignment horizontal="center" vertical="center" wrapText="1"/>
    </xf>
    <xf numFmtId="0" fontId="40" fillId="5" borderId="78" xfId="0" applyFont="1" applyFill="1" applyBorder="1" applyAlignment="1">
      <alignment horizontal="center" wrapText="1"/>
    </xf>
    <xf numFmtId="0" fontId="40" fillId="5" borderId="95" xfId="0" applyFont="1" applyFill="1" applyBorder="1" applyAlignment="1">
      <alignment horizontal="center" wrapText="1"/>
    </xf>
    <xf numFmtId="0" fontId="40" fillId="5" borderId="79" xfId="0" applyFont="1" applyFill="1" applyBorder="1" applyAlignment="1">
      <alignment horizontal="center" wrapText="1"/>
    </xf>
    <xf numFmtId="0" fontId="31" fillId="0" borderId="35" xfId="0" applyFont="1" applyBorder="1" applyAlignment="1">
      <alignment horizontal="left" vertical="center" wrapText="1"/>
    </xf>
    <xf numFmtId="0" fontId="31" fillId="0" borderId="41" xfId="0" applyFont="1" applyBorder="1" applyAlignment="1">
      <alignment horizontal="left" vertical="center" wrapText="1"/>
    </xf>
  </cellXfs>
  <cellStyles count="12">
    <cellStyle name="Hipersaitas" xfId="1" builtinId="8"/>
    <cellStyle name="Įprastas" xfId="0" builtinId="0"/>
    <cellStyle name="Įprastas 2" xfId="6" xr:uid="{AF05CF2D-D618-4026-9BD3-167FFA3308E9}"/>
    <cellStyle name="Įprastas 3" xfId="10" xr:uid="{1E3A0D5A-4CFA-4BC1-BFAC-8CEAE8013A77}"/>
    <cellStyle name="Įprastas 5" xfId="9" xr:uid="{24352BD7-FF1F-4BCB-A618-16C73D39FFF0}"/>
    <cellStyle name="Įprastas 6" xfId="8" xr:uid="{5A0FAE1B-0450-4951-8345-53579E1BD0FE}"/>
    <cellStyle name="Įprastas 8 2" xfId="7" xr:uid="{8C087F1F-A6E6-49CC-8D19-381F6EC162AB}"/>
    <cellStyle name="Normal 18" xfId="3" xr:uid="{1A4A2765-3B13-476A-B988-826493B987E5}"/>
    <cellStyle name="Normal 4" xfId="4" xr:uid="{C366F9C7-F114-4B72-8C90-9D319E9CA060}"/>
    <cellStyle name="Normal 5" xfId="5" xr:uid="{2DD1DBB4-8FD1-4DD8-8AD9-21E3254968C6}"/>
    <cellStyle name="Normal 6" xfId="2" xr:uid="{39C61853-18A8-4376-BEEE-408C39E94774}"/>
    <cellStyle name="Normal_____3lentelė - 2,3,4 lapai_3_variantas" xfId="11" xr:uid="{257EF036-731E-4E16-9C4E-3C5C3A13DF22}"/>
  </cellStyles>
  <dxfs count="6">
    <dxf>
      <fill>
        <patternFill>
          <bgColor theme="9" tint="-0.24994659260841701"/>
        </patternFill>
      </fill>
    </dxf>
    <dxf>
      <fill>
        <patternFill>
          <bgColor theme="2" tint="-0.24994659260841701"/>
        </patternFill>
      </fill>
    </dxf>
    <dxf>
      <fill>
        <patternFill>
          <bgColor theme="9" tint="-0.24994659260841701"/>
        </patternFill>
      </fill>
    </dxf>
    <dxf>
      <fill>
        <patternFill>
          <bgColor theme="2" tint="-0.24994659260841701"/>
        </patternFill>
      </fill>
    </dxf>
    <dxf>
      <fill>
        <patternFill>
          <bgColor theme="9" tint="-0.24994659260841701"/>
        </patternFill>
      </fill>
    </dxf>
    <dxf>
      <fill>
        <patternFill>
          <bgColor theme="2" tint="-0.24994659260841701"/>
        </patternFill>
      </fill>
    </dxf>
  </dxfs>
  <tableStyles count="0" defaultTableStyle="TableStyleMedium2" defaultPivotStyle="PivotStyleLight16"/>
  <colors>
    <mruColors>
      <color rgb="FFB5DDF0"/>
      <color rgb="FFC9D6D9"/>
      <color rgb="FF47ABD9"/>
      <color rgb="FF0024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192282</xdr:colOff>
      <xdr:row>0</xdr:row>
      <xdr:rowOff>144780</xdr:rowOff>
    </xdr:from>
    <xdr:to>
      <xdr:col>3</xdr:col>
      <xdr:colOff>2298627</xdr:colOff>
      <xdr:row>0</xdr:row>
      <xdr:rowOff>1240155</xdr:rowOff>
    </xdr:to>
    <xdr:pic>
      <xdr:nvPicPr>
        <xdr:cNvPr id="4" name="Paveikslėlis 3">
          <a:hlinkClick xmlns:r="http://schemas.openxmlformats.org/officeDocument/2006/relationships" r:id="rId1"/>
          <a:extLst>
            <a:ext uri="{FF2B5EF4-FFF2-40B4-BE49-F238E27FC236}">
              <a16:creationId xmlns:a16="http://schemas.microsoft.com/office/drawing/2014/main" id="{52EB93B5-16DA-401D-A594-4AE835116630}"/>
            </a:ext>
          </a:extLst>
        </xdr:cNvPr>
        <xdr:cNvPicPr>
          <a:picLocks noChangeAspect="1" noChangeArrowheads="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bwMode="auto">
        <a:xfrm>
          <a:off x="779022" y="144780"/>
          <a:ext cx="2098725"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583790</xdr:colOff>
      <xdr:row>20</xdr:row>
      <xdr:rowOff>163518</xdr:rowOff>
    </xdr:from>
    <xdr:to>
      <xdr:col>3</xdr:col>
      <xdr:colOff>1053387</xdr:colOff>
      <xdr:row>21</xdr:row>
      <xdr:rowOff>143387</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^4▒S_i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813372</xdr:colOff>
      <xdr:row>23</xdr:row>
      <xdr:rowOff>127014</xdr:rowOff>
    </xdr:from>
    <xdr:to>
      <xdr:col>4</xdr:col>
      <xdr:colOff>599327</xdr:colOff>
      <xdr:row>24</xdr:row>
      <xdr:rowOff>185684</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A</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174739</xdr:colOff>
      <xdr:row>31</xdr:row>
      <xdr:rowOff>279621</xdr:rowOff>
    </xdr:from>
    <xdr:to>
      <xdr:col>4</xdr:col>
      <xdr:colOff>1269615</xdr:colOff>
      <xdr:row>31</xdr:row>
      <xdr:rowOff>610027</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en-US" sz="800" b="0" i="1">
                            <a:latin typeface="Cambria Math" panose="02040503050406030204" pitchFamily="18" charset="0"/>
                          </a:rPr>
                        </m:ctrlPr>
                      </m:fPr>
                      <m:num>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m:t>
                        </m:r>
                      </m:num>
                      <m:den>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r>
                              <a:rPr lang="en-US" sz="800" b="0" i="0">
                                <a:latin typeface="Cambria Math" panose="02040503050406030204" pitchFamily="18" charset="0"/>
                              </a:rPr>
                              <m:t>−1</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−1)</m:t>
                        </m:r>
                      </m:den>
                    </m:f>
                    <m:r>
                      <a:rPr lang="en-US" sz="800" b="0" i="1">
                        <a:latin typeface="Cambria Math" panose="02040503050406030204" pitchFamily="18" charset="0"/>
                        <a:ea typeface="Cambria Math" panose="02040503050406030204" pitchFamily="18" charset="0"/>
                      </a:rPr>
                      <m:t>≤</m:t>
                    </m:r>
                    <m:sSub>
                      <m:sSubPr>
                        <m:ctrlPr>
                          <a:rPr lang="en-US" sz="1050" b="0" i="1">
                            <a:solidFill>
                              <a:schemeClr val="tx1"/>
                            </a:solidFill>
                            <a:effectLst/>
                            <a:latin typeface="Cambria Math" panose="02040503050406030204" pitchFamily="18" charset="0"/>
                            <a:ea typeface="+mn-ea"/>
                            <a:cs typeface="+mn-cs"/>
                          </a:rPr>
                        </m:ctrlPr>
                      </m:sSubPr>
                      <m:e>
                        <m:r>
                          <a:rPr lang="en-US" sz="1050" b="0" i="0">
                            <a:solidFill>
                              <a:schemeClr val="tx1"/>
                            </a:solidFill>
                            <a:effectLst/>
                            <a:latin typeface="Cambria Math" panose="02040503050406030204" pitchFamily="18" charset="0"/>
                            <a:ea typeface="+mn-ea"/>
                            <a:cs typeface="+mn-cs"/>
                          </a:rPr>
                          <m:t>0,5⋅</m:t>
                        </m:r>
                        <m:r>
                          <m:rPr>
                            <m:sty m:val="p"/>
                          </m:rPr>
                          <a:rPr lang="en-US" sz="1050" b="0" i="0">
                            <a:solidFill>
                              <a:schemeClr val="tx1"/>
                            </a:solidFill>
                            <a:effectLst/>
                            <a:latin typeface="Cambria Math" panose="02040503050406030204" pitchFamily="18" charset="0"/>
                            <a:ea typeface="+mn-ea"/>
                            <a:cs typeface="+mn-cs"/>
                          </a:rPr>
                          <m:t>Y</m:t>
                        </m:r>
                      </m:e>
                      <m:sub>
                        <m:r>
                          <m:rPr>
                            <m:sty m:val="p"/>
                          </m:rPr>
                          <a:rPr lang="en-US" sz="1050" b="0" i="0">
                            <a:solidFill>
                              <a:schemeClr val="tx1"/>
                            </a:solidFill>
                            <a:effectLst/>
                            <a:latin typeface="Cambria Math" panose="02040503050406030204" pitchFamily="18" charset="0"/>
                            <a:ea typeface="+mn-ea"/>
                            <a:cs typeface="+mn-cs"/>
                          </a:rPr>
                          <m:t>np</m:t>
                        </m:r>
                        <m:r>
                          <a:rPr lang="en-US" sz="1050" b="0" i="0">
                            <a:solidFill>
                              <a:schemeClr val="tx1"/>
                            </a:solidFill>
                            <a:effectLst/>
                            <a:latin typeface="Cambria Math" panose="02040503050406030204" pitchFamily="18" charset="0"/>
                            <a:ea typeface="+mn-ea"/>
                            <a:cs typeface="+mn-cs"/>
                          </a:rPr>
                          <m:t>10</m:t>
                        </m:r>
                        <m:r>
                          <m:rPr>
                            <m:sty m:val="p"/>
                          </m:rPr>
                          <a:rPr lang="en-US" sz="1050" b="0" i="0">
                            <a:solidFill>
                              <a:schemeClr val="tx1"/>
                            </a:solidFill>
                            <a:effectLst/>
                            <a:latin typeface="Cambria Math" panose="02040503050406030204" pitchFamily="18" charset="0"/>
                            <a:ea typeface="+mn-ea"/>
                            <a:cs typeface="+mn-cs"/>
                          </a:rPr>
                          <m:t>t</m:t>
                        </m:r>
                      </m:sub>
                    </m:sSub>
                  </m:oMath>
                </m:oMathPara>
              </a14:m>
              <a:endParaRPr lang="lt-LT" sz="800" i="0"/>
            </a:p>
          </xdr:txBody>
        </xdr:sp>
      </mc:Choice>
      <mc:Fallback xmlns="">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800" b="0" i="0">
                  <a:latin typeface="Cambria Math" panose="02040503050406030204" pitchFamily="18" charset="0"/>
                </a:rPr>
                <a:t>(</a:t>
              </a:r>
              <a:r>
                <a:rPr lang="lt-LT" sz="800" b="0" i="0">
                  <a:latin typeface="Cambria Math" panose="02040503050406030204" pitchFamily="18" charset="0"/>
                </a:rPr>
                <a:t>AV3</a:t>
              </a:r>
              <a:r>
                <a:rPr lang="en-US" sz="800" b="0" i="0">
                  <a:latin typeface="Cambria Math" panose="02040503050406030204" pitchFamily="18" charset="0"/>
                </a:rPr>
                <a:t>(t)−ES(t))/(</a:t>
              </a:r>
              <a:r>
                <a:rPr lang="lt-LT" sz="800" b="0" i="0">
                  <a:latin typeface="Cambria Math" panose="02040503050406030204" pitchFamily="18" charset="0"/>
                </a:rPr>
                <a:t>AV3</a:t>
              </a:r>
              <a:r>
                <a:rPr lang="en-US" sz="800" b="0" i="0">
                  <a:latin typeface="Cambria Math" panose="02040503050406030204" pitchFamily="18" charset="0"/>
                </a:rPr>
                <a:t>(t−1)−ES(t−1))</a:t>
              </a:r>
              <a:r>
                <a:rPr lang="en-US" sz="800" b="0" i="0">
                  <a:latin typeface="Cambria Math" panose="02040503050406030204" pitchFamily="18" charset="0"/>
                  <a:ea typeface="Cambria Math" panose="02040503050406030204" pitchFamily="18" charset="0"/>
                </a:rPr>
                <a:t>≤</a:t>
              </a:r>
              <a:r>
                <a:rPr lang="en-US" sz="1050" b="0" i="0">
                  <a:solidFill>
                    <a:schemeClr val="tx1"/>
                  </a:solidFill>
                  <a:effectLst/>
                  <a:latin typeface="Cambria Math" panose="02040503050406030204" pitchFamily="18" charset="0"/>
                  <a:ea typeface="+mn-ea"/>
                  <a:cs typeface="+mn-cs"/>
                </a:rPr>
                <a:t>〖0,5⋅Y〗_np10t</a:t>
              </a:r>
              <a:endParaRPr lang="lt-LT" sz="800" i="0"/>
            </a:p>
          </xdr:txBody>
        </xdr:sp>
      </mc:Fallback>
    </mc:AlternateContent>
    <xdr:clientData/>
  </xdr:twoCellAnchor>
  <xdr:twoCellAnchor editAs="oneCell">
    <xdr:from>
      <xdr:col>3</xdr:col>
      <xdr:colOff>193812</xdr:colOff>
      <xdr:row>33</xdr:row>
      <xdr:rowOff>94256</xdr:rowOff>
    </xdr:from>
    <xdr:to>
      <xdr:col>4</xdr:col>
      <xdr:colOff>1393030</xdr:colOff>
      <xdr:row>33</xdr:row>
      <xdr:rowOff>750094</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528062" y="12107662"/>
              <a:ext cx="2175531" cy="655838"/>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np</m:t>
                        </m:r>
                        <m: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m:t>
                        </m:r>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ad>
                          <m:radPr>
                            <m:ctrlPr>
                              <a:rPr lang="en-US" sz="1100" b="0" i="1" baseline="0">
                                <a:effectLst/>
                                <a:latin typeface="Cambria Math" panose="02040503050406030204" pitchFamily="18" charset="0"/>
                                <a:ea typeface="+mn-ea"/>
                                <a:cs typeface="+mn-cs"/>
                              </a:rPr>
                            </m:ctrlPr>
                          </m:radPr>
                          <m:deg>
                            <m:r>
                              <m:rPr>
                                <m:brk m:alnAt="7"/>
                              </m:rPr>
                              <a:rPr lang="en-US" sz="1100" b="0" i="1" baseline="0">
                                <a:effectLst/>
                                <a:latin typeface="Cambria Math" panose="02040503050406030204" pitchFamily="18" charset="0"/>
                                <a:ea typeface="+mn-ea"/>
                                <a:cs typeface="+mn-cs"/>
                              </a:rPr>
                              <m:t>1</m:t>
                            </m:r>
                            <m:r>
                              <a:rPr lang="en-US" sz="1100" b="0" i="1" baseline="0">
                                <a:effectLst/>
                                <a:latin typeface="Cambria Math" panose="02040503050406030204" pitchFamily="18" charset="0"/>
                                <a:ea typeface="+mn-ea"/>
                                <a:cs typeface="+mn-cs"/>
                              </a:rPr>
                              <m:t>0</m:t>
                            </m:r>
                          </m:deg>
                          <m:e>
                            <m:f>
                              <m:fPr>
                                <m:ctrlPr>
                                  <a:rPr lang="en-US" sz="1100" b="0" i="1" baseline="0">
                                    <a:effectLst/>
                                    <a:latin typeface="Cambria Math" panose="02040503050406030204" pitchFamily="18" charset="0"/>
                                    <a:ea typeface="+mn-ea"/>
                                    <a:cs typeface="+mn-cs"/>
                                  </a:rPr>
                                </m:ctrlPr>
                              </m:fPr>
                              <m:num>
                                <m:sSup>
                                  <m:sSupPr>
                                    <m:ctrlPr>
                                      <a:rPr lang="en-US" sz="1100" b="0" i="1" baseline="0">
                                        <a:effectLst/>
                                        <a:latin typeface="Cambria Math" panose="02040503050406030204" pitchFamily="18" charset="0"/>
                                        <a:ea typeface="+mn-ea"/>
                                        <a:cs typeface="+mn-cs"/>
                                      </a:rPr>
                                    </m:ctrlPr>
                                  </m:sSupPr>
                                  <m:e>
                                    <m:r>
                                      <m:rPr>
                                        <m:sty m:val="p"/>
                                      </m:rPr>
                                      <a:rPr lang="en-US" sz="1100" b="0" i="0" baseline="0">
                                        <a:effectLst/>
                                        <a:latin typeface="Cambria Math" panose="02040503050406030204" pitchFamily="18" charset="0"/>
                                        <a:ea typeface="+mn-ea"/>
                                        <a:cs typeface="+mn-cs"/>
                                      </a:rPr>
                                      <m:t>Y</m:t>
                                    </m:r>
                                  </m:e>
                                  <m:sup>
                                    <m:r>
                                      <a:rPr lang="en-US" sz="1100" b="0" i="1" baseline="0">
                                        <a:effectLst/>
                                        <a:latin typeface="Cambria Math" panose="02040503050406030204" pitchFamily="18" charset="0"/>
                                        <a:ea typeface="+mn-ea"/>
                                        <a:cs typeface="+mn-cs"/>
                                      </a:rPr>
                                      <m:t>∗</m:t>
                                    </m:r>
                                  </m:sup>
                                </m:sSup>
                                <m:d>
                                  <m:dPr>
                                    <m:ctrlPr>
                                      <a:rPr lang="en-US" sz="1100" b="0" i="1" baseline="0">
                                        <a:effectLst/>
                                        <a:latin typeface="Cambria Math" panose="02040503050406030204" pitchFamily="18" charset="0"/>
                                        <a:ea typeface="+mn-ea"/>
                                        <a:cs typeface="+mn-cs"/>
                                      </a:rPr>
                                    </m:ctrlPr>
                                  </m:dPr>
                                  <m:e>
                                    <m:r>
                                      <m:rPr>
                                        <m:sty m:val="p"/>
                                      </m:rPr>
                                      <a:rPr lang="en-US" sz="1100" b="0" i="0" baseline="0">
                                        <a:effectLst/>
                                        <a:latin typeface="Cambria Math" panose="02040503050406030204" pitchFamily="18" charset="0"/>
                                        <a:ea typeface="+mn-ea"/>
                                        <a:cs typeface="+mn-cs"/>
                                      </a:rPr>
                                      <m:t>t</m:t>
                                    </m:r>
                                    <m:r>
                                      <a:rPr lang="en-US" sz="1100" b="0" i="1" baseline="0">
                                        <a:effectLst/>
                                        <a:latin typeface="Cambria Math" panose="02040503050406030204" pitchFamily="18" charset="0"/>
                                        <a:ea typeface="+mn-ea"/>
                                        <a:cs typeface="+mn-cs"/>
                                      </a:rPr>
                                      <m:t>+2</m:t>
                                    </m:r>
                                  </m:e>
                                </m:d>
                              </m:num>
                              <m:den>
                                <m:sSup>
                                  <m:sSupPr>
                                    <m:ctrlPr>
                                      <a:rPr lang="en-US" sz="1100" b="0" i="1" baseline="0">
                                        <a:effectLst/>
                                        <a:latin typeface="Cambria Math" panose="02040503050406030204" pitchFamily="18" charset="0"/>
                                        <a:ea typeface="+mn-ea"/>
                                        <a:cs typeface="+mn-cs"/>
                                      </a:rPr>
                                    </m:ctrlPr>
                                  </m:sSupPr>
                                  <m:e>
                                    <m:r>
                                      <m:rPr>
                                        <m:sty m:val="p"/>
                                      </m:rPr>
                                      <a:rPr lang="en-US" sz="1100" b="0" i="0" baseline="0">
                                        <a:effectLst/>
                                        <a:latin typeface="Cambria Math" panose="02040503050406030204" pitchFamily="18" charset="0"/>
                                        <a:ea typeface="+mn-ea"/>
                                        <a:cs typeface="+mn-cs"/>
                                      </a:rPr>
                                      <m:t>Y</m:t>
                                    </m:r>
                                  </m:e>
                                  <m:sup>
                                    <m:r>
                                      <a:rPr lang="en-US" sz="1100" b="0" i="1" baseline="0">
                                        <a:effectLst/>
                                        <a:latin typeface="Cambria Math" panose="02040503050406030204" pitchFamily="18" charset="0"/>
                                        <a:ea typeface="+mn-ea"/>
                                        <a:cs typeface="+mn-cs"/>
                                      </a:rPr>
                                      <m:t>∗</m:t>
                                    </m:r>
                                  </m:sup>
                                </m:sSup>
                                <m:r>
                                  <a:rPr lang="en-US" sz="1100" b="0" i="1" baseline="0">
                                    <a:effectLst/>
                                    <a:latin typeface="Cambria Math" panose="02040503050406030204" pitchFamily="18" charset="0"/>
                                    <a:ea typeface="+mn-ea"/>
                                    <a:cs typeface="+mn-cs"/>
                                  </a:rPr>
                                  <m:t>(</m:t>
                                </m:r>
                                <m:r>
                                  <m:rPr>
                                    <m:sty m:val="p"/>
                                  </m:rPr>
                                  <a:rPr lang="en-US" sz="1100" b="0" i="0" baseline="0">
                                    <a:effectLst/>
                                    <a:latin typeface="Cambria Math" panose="02040503050406030204" pitchFamily="18" charset="0"/>
                                    <a:ea typeface="+mn-ea"/>
                                    <a:cs typeface="+mn-cs"/>
                                  </a:rPr>
                                  <m:t>t</m:t>
                                </m:r>
                                <m:r>
                                  <a:rPr lang="en-US" sz="1100" b="0" i="1" baseline="0">
                                    <a:effectLst/>
                                    <a:latin typeface="Cambria Math" panose="02040503050406030204" pitchFamily="18" charset="0"/>
                                    <a:ea typeface="+mn-ea"/>
                                    <a:cs typeface="+mn-cs"/>
                                  </a:rPr>
                                  <m:t>−8)</m:t>
                                </m:r>
                              </m:den>
                            </m:f>
                          </m:e>
                        </m:rad>
                        <m:sSub>
                          <m:sSubPr>
                            <m:ctrlPr>
                              <a:rPr lang="en-US" sz="1100" b="0" i="1" baseline="0">
                                <a:effectLst/>
                                <a:latin typeface="Cambria Math" panose="02040503050406030204" pitchFamily="18" charset="0"/>
                                <a:ea typeface="+mn-ea"/>
                                <a:cs typeface="+mn-cs"/>
                              </a:rPr>
                            </m:ctrlPr>
                          </m:sSubPr>
                          <m:e>
                            <m:r>
                              <a:rPr lang="en-US" sz="1100" b="0" i="1" baseline="0">
                                <a:effectLst/>
                                <a:latin typeface="Cambria Math" panose="02040503050406030204" pitchFamily="18" charset="0"/>
                                <a:ea typeface="+mn-ea"/>
                                <a:cs typeface="+mn-cs"/>
                              </a:rPr>
                              <m:t>𝑑</m:t>
                            </m:r>
                          </m:e>
                          <m:sub>
                            <m:r>
                              <a:rPr lang="en-US" sz="1100" b="0" i="1" baseline="0">
                                <a:effectLst/>
                                <a:latin typeface="Cambria Math" panose="02040503050406030204" pitchFamily="18" charset="0"/>
                                <a:ea typeface="+mn-ea"/>
                                <a:cs typeface="+mn-cs"/>
                              </a:rPr>
                              <m:t>𝑡</m:t>
                            </m:r>
                          </m:sub>
                        </m:sSub>
                        <m:r>
                          <a:rPr lang="en-US" sz="1100" b="0" i="1" baseline="0">
                            <a:effectLst/>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m:t>
                    </m:r>
                  </m:oMath>
                </m:oMathPara>
              </a14:m>
              <a:endParaRPr kumimoji="0" lang="en-US"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528062" y="12107662"/>
              <a:ext cx="2175531" cy="655838"/>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Y_np10t=(</a:t>
              </a:r>
              <a:r>
                <a:rPr kumimoji="0" lang="en-US" sz="1100" b="0" i="0" u="none" strike="noStrike" kern="0" cap="none" spc="0" normalizeH="0" baseline="0" noProof="0">
                  <a:ln>
                    <a:noFill/>
                  </a:ln>
                  <a:solidFill>
                    <a:sysClr val="windowText" lastClr="000000"/>
                  </a:solidFill>
                  <a:effectLst/>
                  <a:uLnTx/>
                  <a:uFillTx/>
                  <a:latin typeface="+mn-lt"/>
                  <a:ea typeface="+mn-ea"/>
                  <a:cs typeface="+mn-cs"/>
                </a:rPr>
                <a:t>√(</a:t>
              </a:r>
              <a:r>
                <a:rPr lang="en-US" sz="1100" b="0" i="0" baseline="0">
                  <a:effectLst/>
                  <a:latin typeface="+mn-lt"/>
                  <a:ea typeface="+mn-ea"/>
                  <a:cs typeface="+mn-cs"/>
                </a:rPr>
                <a:t>10&amp;(Y^∗ (t+2))/(Y^∗ (t−8)))𝑑_𝑡−</a:t>
              </a:r>
              <a:r>
                <a:rPr lang="en-US" sz="1100" b="0" i="0" baseline="0">
                  <a:effectLst/>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)∗100</a:t>
              </a:r>
              <a:endParaRPr kumimoji="0" lang="en-US"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707244</xdr:colOff>
      <xdr:row>27</xdr:row>
      <xdr:rowOff>200504</xdr:rowOff>
    </xdr:from>
    <xdr:to>
      <xdr:col>4</xdr:col>
      <xdr:colOff>890124</xdr:colOff>
      <xdr:row>29</xdr:row>
      <xdr:rowOff>84</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GB"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e>
                        </m:nary>
                      </m:num>
                      <m:den>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&lt;0</m:t>
                    </m:r>
                  </m:oMath>
                </m:oMathPara>
              </a14:m>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B</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(t−𝑗</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)/5&lt;0</a:t>
              </a:r>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507110</xdr:colOff>
      <xdr:row>13</xdr:row>
      <xdr:rowOff>78342</xdr:rowOff>
    </xdr:from>
    <xdr:to>
      <xdr:col>4</xdr:col>
      <xdr:colOff>1025270</xdr:colOff>
      <xdr:row>15</xdr:row>
      <xdr:rowOff>217420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GB"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num>
                      <m:den>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≥0,1</m:t>
                    </m:r>
                  </m:oMath>
                </m:oMathPara>
              </a14:m>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^5▒B(t−𝑗) )/5≥0,1</a:t>
              </a:r>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274449</xdr:colOff>
      <xdr:row>7</xdr:row>
      <xdr:rowOff>177586</xdr:rowOff>
    </xdr:from>
    <xdr:to>
      <xdr:col>4</xdr:col>
      <xdr:colOff>1194660</xdr:colOff>
      <xdr:row>9</xdr:row>
      <xdr:rowOff>354794</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14:m>
                <m:oMath xmlns:m="http://schemas.openxmlformats.org/officeDocument/2006/math">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d>
                    <m:d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m:t>
                  </m:r>
                </m:oMath>
              </a14:m>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14:m>
                <m:oMathPara xmlns:m="http://schemas.openxmlformats.org/officeDocument/2006/math">
                  <m:oMathParaPr>
                    <m:jc m:val="centerGroup"/>
                  </m:oMathParaPr>
                  <m:oMath xmlns:m="http://schemas.openxmlformats.org/officeDocument/2006/math">
                    <m:f>
                      <m:f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Δ</m:t>
                        </m:r>
                        <m:sSub>
                          <m:sSub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E</m:t>
                            </m:r>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+2</m:t>
                    </m:r>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&lt;</a:t>
              </a:r>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1/5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E</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S</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 (t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 </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+2</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580496</xdr:colOff>
      <xdr:row>31</xdr:row>
      <xdr:rowOff>738132</xdr:rowOff>
    </xdr:from>
    <xdr:to>
      <xdr:col>4</xdr:col>
      <xdr:colOff>852569</xdr:colOff>
      <xdr:row>33</xdr:row>
      <xdr:rowOff>10433</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14746" y="11608538"/>
              <a:ext cx="1248386" cy="41530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𝑑</m:t>
                        </m:r>
                      </m:e>
                      <m: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𝑡</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ad>
                      <m:ra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radPr>
                      <m:deg>
                        <m:r>
                          <m:rPr>
                            <m:brk m:alnAt="7"/>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deg>
                      <m:e>
                        <m:nary>
                          <m:naryPr>
                            <m:chr m:val="∏"/>
                            <m:limLoc m:val="subSup"/>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5"/>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𝑘</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e>
                                </m:d>
                              </m:num>
                              <m:den>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den>
                            </m:f>
                          </m:e>
                        </m:nary>
                      </m:e>
                    </m:rad>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14746" y="11608538"/>
              <a:ext cx="1248386" cy="41530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𝑑_𝑡=∜(∏2</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𝑘</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)^4▒(P_k (t))/(P_k (t−1) ))</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vkontrolelt.sharepoint.com/sites/BPSD/Bendrai%20naudojami%20dokumentai/General/11%20Isvados%20ir%20ataskaitos/I&#353;vados%202023/2.%20Lietuvos%20stabilumo%20programa/02.%20I&#353;vad&#261;%20sudaran&#269;ios%20dalys/FDT%20ex-post/FDT+LT+EN+2023-04-18_ex-post_su_istorija.xlsx" TargetMode="External"/><Relationship Id="rId2" Type="http://schemas.microsoft.com/office/2019/04/relationships/externalLinkLongPath" Target="/sites/BPSD/Bendrai%20naudojami%20dokumentai/General/11%20Isvados%20ir%20ataskaitos/I&#353;vados%202023/2.%20Lietuvos%20stabilumo%20programa/02.%20I&#353;vad&#261;%20sudaran&#269;ios%20dalys/FDT%20ex-post/FDT+LT+EN+2023-04-18_ex-post_su_istorija.xlsx?DDF54037" TargetMode="External"/><Relationship Id="rId1" Type="http://schemas.openxmlformats.org/officeDocument/2006/relationships/externalLinkPath" Target="file:///\\DDF54037\FDT+LT+EN+2023-04-18_ex-post_su_istorija.xlsx" TargetMode="External"/><Relationship Id="rId4" Type="http://schemas.openxmlformats.org/officeDocument/2006/relationships/externalLinkPath" Target="../../../../sites/BPSD/Bendrai%20naudojami%20dokumentai/General/11%20Isvados%20ir%20ataskaitos/I&#353;vados%202023/2.%20Lietuvos%20stabilumo%20programa/02.%20I&#353;vad&#261;%20sudaran&#269;ios%20dalys/FDT%20ex-post/FDT+LT+EN+2023-04-18_ex-post_su_istorija.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vkontrolelt.sharepoint.com/sites/BPSD/Bendrai%20naudojami%20dokumentai/General/11%20Isvados%20ir%20ataskaitos/I&#353;vados%202020/Vald&#382;ios%20sektoriaus%20biud&#382;et&#371;%20projekt&#371;%20vertinimas/02.%20I&#353;vad&#261;%20sudaran&#269;ios%20dalys/FDT%20taisykl&#279;s/FDT%20skai&#269;iuokl&#279;/FDT+LT+EN+2020_2020.11.10_0419.xlsm" TargetMode="External"/><Relationship Id="rId2" Type="http://schemas.microsoft.com/office/2019/04/relationships/externalLinkLongPath" Target="/sites/BPSD/Bendrai%20naudojami%20dokumentai/General/11%20Isvados%20ir%20ataskaitos/I&#353;vados%202020/Vald&#382;ios%20sektoriaus%20biud&#382;et&#371;%20projekt&#371;%20vertinimas/02.%20I&#353;vad&#261;%20sudaran&#269;ios%20dalys/FDT%20taisykl&#279;s/FDT%20skai&#269;iuokl&#279;/FDT+LT+EN+2020_2020.11.10_0419.xlsm?A1BC6CA4" TargetMode="External"/><Relationship Id="rId1" Type="http://schemas.openxmlformats.org/officeDocument/2006/relationships/externalLinkPath" Target="file:///\\A1BC6CA4\FDT+LT+EN+2020_2020.11.10_0419.xlsm" TargetMode="External"/><Relationship Id="rId4" Type="http://schemas.openxmlformats.org/officeDocument/2006/relationships/externalLinkPath" Target="../../../../sites/BPSD/Bendrai%20naudojami%20dokumentai/General/11%20Isvados%20ir%20ataskaitos/I&#353;vados%202020/Vald&#382;ios%20sektoriaus%20biud&#382;et&#371;%20projekt&#371;%20vertinimas/02.%20I&#353;vad&#261;%20sudaran&#269;ios%20dalys/FDT%20taisykl&#279;s/FDT%20skai&#269;iuokl&#279;/FDT+LT+EN+2020_2020.11.10_041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Content"/>
      <sheetName val="1. Summary"/>
      <sheetName val="2. Macro"/>
      <sheetName val="3. GGbudget"/>
      <sheetName val="4. SurplusGG"/>
      <sheetName val="5. GGexpenditure"/>
      <sheetName val="6. GGbudgets"/>
      <sheetName val="7. History"/>
    </sheetNames>
    <sheetDataSet>
      <sheetData sheetId="0" refreshError="1"/>
      <sheetData sheetId="1" refreshError="1"/>
      <sheetData sheetId="2"/>
      <sheetData sheetId="3"/>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Tech"/>
      <sheetName val="Content"/>
      <sheetName val="1. Summary"/>
      <sheetName val="2. Macro"/>
      <sheetName val="3. GGbudget"/>
      <sheetName val="4. Municipalities"/>
      <sheetName val="5. SurplusGG"/>
      <sheetName val="6. GGexpenditure"/>
      <sheetName val="7. GGbudgets"/>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ema">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e-seimas.lrs.lt/portal/legalAct/en/TAD/TAIS.347753?jfwid=-wd7z8myik" TargetMode="External"/><Relationship Id="rId7" Type="http://schemas.openxmlformats.org/officeDocument/2006/relationships/hyperlink" Target="https://economy-finance.ec.europa.eu/economic-governance-framework/stability-and-growth-pact/legal-basis-stability-and-growth-pact_en" TargetMode="External"/><Relationship Id="rId2" Type="http://schemas.openxmlformats.org/officeDocument/2006/relationships/hyperlink" Target="http://www3.lrs.lt/pls/inter3/dokpaieska.showdoc_l?p_id=487269" TargetMode="External"/><Relationship Id="rId1" Type="http://schemas.openxmlformats.org/officeDocument/2006/relationships/hyperlink" Target="http://www3.lrs.lt/pls/inter3/dokpaieska.showdoc_l?p_id=487268&amp;p_tr2=2" TargetMode="External"/><Relationship Id="rId6" Type="http://schemas.openxmlformats.org/officeDocument/2006/relationships/hyperlink" Target="https://www.e-tar.lt/portal/en/legalAct/TAR.2DD07D41B8F1/asr" TargetMode="External"/><Relationship Id="rId5" Type="http://schemas.openxmlformats.org/officeDocument/2006/relationships/hyperlink" Target="https://www.e-tar.lt/portal/lt/legalAct/TAR.2DD07D41B8F1/asr" TargetMode="External"/><Relationship Id="rId4" Type="http://schemas.openxmlformats.org/officeDocument/2006/relationships/hyperlink" Target="https://e-seimas.lrs.lt/portal/legalAct/lt/TAD/c4be7b32bb6b11e4a939cd67303e5a1f"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eur-lex.europa.eu/legal-content/EN/TXT/HTML/?uri=OJ:C_202503959" TargetMode="External"/><Relationship Id="rId2" Type="http://schemas.openxmlformats.org/officeDocument/2006/relationships/hyperlink" Target="https://eur-lex.europa.eu/legal-content/lt/TXT/HTML/?uri=OJ:C_202503969" TargetMode="External"/><Relationship Id="rId1" Type="http://schemas.openxmlformats.org/officeDocument/2006/relationships/hyperlink" Target="https://eur-lex.europa.eu/legal-content/LT/TXT/HTML/?uri=OJ:C_202503959" TargetMode="External"/><Relationship Id="rId4" Type="http://schemas.openxmlformats.org/officeDocument/2006/relationships/hyperlink" Target="https://eur-lex.europa.eu/legal-content/en/TXT/HTML/?uri=OJ:C_2025039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4C121-6EAF-4C24-A89B-0497398ABDFB}">
  <sheetPr codeName="Lapas1">
    <tabColor theme="7" tint="-0.499984740745262"/>
  </sheetPr>
  <dimension ref="C1:H45"/>
  <sheetViews>
    <sheetView showGridLines="0" tabSelected="1" workbookViewId="0">
      <selection activeCell="C3" sqref="C3:D3"/>
    </sheetView>
  </sheetViews>
  <sheetFormatPr defaultColWidth="10" defaultRowHeight="14.25"/>
  <cols>
    <col min="1" max="1" width="0.42578125" style="44" customWidth="1"/>
    <col min="2" max="2" width="3.5703125" style="44" customWidth="1"/>
    <col min="3" max="3" width="4.5703125" style="9" customWidth="1"/>
    <col min="4" max="4" width="105.7109375" style="9" customWidth="1"/>
    <col min="5" max="5" width="3.7109375" style="44" customWidth="1"/>
    <col min="6" max="6" width="10" style="44"/>
    <col min="7" max="7" width="10.5703125" style="44" customWidth="1"/>
    <col min="8" max="16384" width="10" style="44"/>
  </cols>
  <sheetData>
    <row r="1" spans="3:7" ht="109.5" customHeight="1" thickBot="1">
      <c r="C1" s="396"/>
      <c r="D1" s="397"/>
      <c r="E1" s="398"/>
    </row>
    <row r="2" spans="3:7">
      <c r="C2" s="56"/>
      <c r="D2" s="57"/>
      <c r="E2" s="58"/>
    </row>
    <row r="3" spans="3:7" ht="35.25" customHeight="1">
      <c r="C3" s="399" t="s">
        <v>0</v>
      </c>
      <c r="D3" s="400"/>
      <c r="E3" s="59"/>
    </row>
    <row r="4" spans="3:7">
      <c r="C4" s="60"/>
      <c r="D4" s="61"/>
      <c r="E4" s="62"/>
    </row>
    <row r="5" spans="3:7" ht="16.149999999999999" customHeight="1">
      <c r="C5" s="401" t="s">
        <v>1</v>
      </c>
      <c r="D5" s="402"/>
      <c r="E5" s="62"/>
      <c r="G5" s="50"/>
    </row>
    <row r="6" spans="3:7">
      <c r="C6" s="60"/>
      <c r="D6" s="61"/>
      <c r="E6" s="62"/>
    </row>
    <row r="7" spans="3:7" ht="18">
      <c r="C7" s="403" t="s">
        <v>2</v>
      </c>
      <c r="D7" s="404"/>
      <c r="E7" s="63"/>
    </row>
    <row r="8" spans="3:7">
      <c r="C8" s="60"/>
      <c r="D8" s="61"/>
      <c r="E8" s="62"/>
    </row>
    <row r="9" spans="3:7" ht="245.45" customHeight="1">
      <c r="C9" s="60"/>
      <c r="D9" s="257" t="s">
        <v>3</v>
      </c>
      <c r="E9" s="64"/>
    </row>
    <row r="10" spans="3:7">
      <c r="C10" s="60"/>
      <c r="D10" s="61"/>
      <c r="E10" s="62"/>
    </row>
    <row r="11" spans="3:7" ht="18">
      <c r="C11" s="403" t="s">
        <v>4</v>
      </c>
      <c r="D11" s="404"/>
      <c r="E11" s="63"/>
    </row>
    <row r="12" spans="3:7">
      <c r="C12" s="60"/>
      <c r="D12" s="61"/>
      <c r="E12" s="62"/>
    </row>
    <row r="13" spans="3:7">
      <c r="C13" s="60"/>
      <c r="D13" s="65" t="s">
        <v>5</v>
      </c>
      <c r="E13" s="62"/>
    </row>
    <row r="14" spans="3:7">
      <c r="C14" s="60"/>
      <c r="D14" s="61"/>
      <c r="E14" s="62"/>
    </row>
    <row r="15" spans="3:7" ht="18">
      <c r="C15" s="403" t="s">
        <v>6</v>
      </c>
      <c r="D15" s="404"/>
      <c r="E15" s="63"/>
    </row>
    <row r="16" spans="3:7">
      <c r="C16" s="60"/>
      <c r="D16" s="61"/>
      <c r="E16" s="62"/>
    </row>
    <row r="17" spans="3:8">
      <c r="C17" s="60"/>
      <c r="D17" s="65" t="s">
        <v>7</v>
      </c>
      <c r="E17" s="62"/>
    </row>
    <row r="18" spans="3:8">
      <c r="C18" s="60"/>
      <c r="D18" s="65" t="s">
        <v>8</v>
      </c>
      <c r="E18" s="62"/>
    </row>
    <row r="19" spans="3:8">
      <c r="C19" s="60"/>
      <c r="D19" s="61"/>
      <c r="E19" s="62"/>
    </row>
    <row r="20" spans="3:8" ht="18">
      <c r="C20" s="403" t="s">
        <v>9</v>
      </c>
      <c r="D20" s="404"/>
      <c r="E20" s="63"/>
    </row>
    <row r="21" spans="3:8">
      <c r="C21" s="60"/>
      <c r="D21" s="61"/>
      <c r="E21" s="62"/>
    </row>
    <row r="22" spans="3:8">
      <c r="C22" s="60"/>
      <c r="D22" s="65" t="s">
        <v>10</v>
      </c>
      <c r="E22" s="62"/>
      <c r="H22" s="44" t="s">
        <v>11</v>
      </c>
    </row>
    <row r="23" spans="3:8">
      <c r="C23" s="60"/>
      <c r="D23" s="65" t="s">
        <v>12</v>
      </c>
      <c r="E23" s="62"/>
    </row>
    <row r="24" spans="3:8">
      <c r="C24" s="60"/>
      <c r="D24" s="65" t="s">
        <v>13</v>
      </c>
      <c r="E24" s="62"/>
    </row>
    <row r="25" spans="3:8">
      <c r="C25" s="60"/>
      <c r="D25" s="65"/>
      <c r="E25" s="62"/>
    </row>
    <row r="26" spans="3:8" ht="18">
      <c r="C26" s="403" t="s">
        <v>14</v>
      </c>
      <c r="D26" s="404"/>
      <c r="E26" s="63"/>
    </row>
    <row r="27" spans="3:8" ht="11.45" customHeight="1">
      <c r="C27" s="250"/>
      <c r="D27" s="251"/>
      <c r="E27" s="252"/>
    </row>
    <row r="28" spans="3:8">
      <c r="C28" s="60"/>
      <c r="D28" s="253" t="s">
        <v>15</v>
      </c>
      <c r="E28" s="62"/>
    </row>
    <row r="29" spans="3:8">
      <c r="C29" s="60"/>
      <c r="D29" s="61"/>
      <c r="E29" s="62"/>
    </row>
    <row r="30" spans="3:8" ht="34.15" customHeight="1">
      <c r="C30" s="405" t="s">
        <v>16</v>
      </c>
      <c r="D30" s="406"/>
      <c r="E30" s="377"/>
    </row>
    <row r="31" spans="3:8" ht="13.15" customHeight="1">
      <c r="C31" s="300"/>
      <c r="D31" s="301"/>
      <c r="E31" s="302"/>
    </row>
    <row r="32" spans="3:8" ht="15.6" customHeight="1">
      <c r="C32" s="300"/>
      <c r="D32" s="303" t="s">
        <v>17</v>
      </c>
      <c r="E32" s="302"/>
    </row>
    <row r="33" spans="3:5">
      <c r="C33" s="60"/>
      <c r="D33" s="61"/>
      <c r="E33" s="62"/>
    </row>
    <row r="34" spans="3:5" ht="18">
      <c r="C34" s="403" t="s">
        <v>18</v>
      </c>
      <c r="D34" s="404"/>
      <c r="E34" s="63"/>
    </row>
    <row r="35" spans="3:5">
      <c r="C35" s="60"/>
      <c r="D35" s="370"/>
      <c r="E35" s="62"/>
    </row>
    <row r="36" spans="3:5">
      <c r="C36" s="60" t="s">
        <v>19</v>
      </c>
      <c r="D36" s="371" t="s">
        <v>20</v>
      </c>
      <c r="E36" s="62"/>
    </row>
    <row r="37" spans="3:5">
      <c r="C37" s="66" t="s">
        <v>21</v>
      </c>
      <c r="D37" s="372" t="s">
        <v>22</v>
      </c>
      <c r="E37" s="62"/>
    </row>
    <row r="38" spans="3:5">
      <c r="C38" s="60" t="s">
        <v>23</v>
      </c>
      <c r="D38" s="371" t="s">
        <v>24</v>
      </c>
      <c r="E38" s="62"/>
    </row>
    <row r="39" spans="3:5">
      <c r="C39" s="66" t="s">
        <v>25</v>
      </c>
      <c r="D39" s="372" t="s">
        <v>26</v>
      </c>
      <c r="E39" s="62"/>
    </row>
    <row r="40" spans="3:5">
      <c r="C40" s="60" t="s">
        <v>27</v>
      </c>
      <c r="D40" s="373" t="s">
        <v>28</v>
      </c>
      <c r="E40" s="62"/>
    </row>
    <row r="41" spans="3:5">
      <c r="C41" s="66" t="s">
        <v>29</v>
      </c>
      <c r="D41" s="374" t="s">
        <v>30</v>
      </c>
      <c r="E41" s="62"/>
    </row>
    <row r="42" spans="3:5">
      <c r="C42" s="66"/>
      <c r="D42" s="395" t="s">
        <v>31</v>
      </c>
      <c r="E42" s="62"/>
    </row>
    <row r="43" spans="3:5" ht="9.6" customHeight="1" thickBot="1">
      <c r="C43" s="67"/>
      <c r="D43" s="375"/>
      <c r="E43" s="68"/>
    </row>
    <row r="44" spans="3:5">
      <c r="D44" s="376"/>
    </row>
    <row r="45" spans="3:5">
      <c r="D45" s="376"/>
    </row>
  </sheetData>
  <mergeCells count="10">
    <mergeCell ref="C1:E1"/>
    <mergeCell ref="C3:D3"/>
    <mergeCell ref="C5:D5"/>
    <mergeCell ref="C7:D7"/>
    <mergeCell ref="C34:D34"/>
    <mergeCell ref="C11:D11"/>
    <mergeCell ref="C15:D15"/>
    <mergeCell ref="C20:D20"/>
    <mergeCell ref="C26:D26"/>
    <mergeCell ref="C30:D30"/>
  </mergeCells>
  <hyperlinks>
    <hyperlink ref="D17" location="'2. Macro'!A1" display="2. Makroekonominiai ir ciklo rodikliai / Macroeconomic and cyclical indicators" xr:uid="{DBF464BC-73E9-44C3-A94E-B343ACF238AF}"/>
    <hyperlink ref="D13" location="'1. Summary'!A1" display="1 lentelė. Fiskalinės drausmės taisyklių laikymosi suvestinė" xr:uid="{AEF63D21-93EE-4580-A93C-5F7556B874F7}"/>
    <hyperlink ref="D18" location="'3. GGbudget'!A1" display="3 lentelė. VS fiskaliniai rodikliai" xr:uid="{BDB2AEA3-417F-4710-8932-34AFAE77AEA2}"/>
    <hyperlink ref="D22" location="'4. SurplusGG'!A1" display="4 lentelė. Perteklinio VS taisyklė" xr:uid="{B039EE87-0B52-4BB5-819B-8154EEA0AEBB}"/>
    <hyperlink ref="D23" location="'5. GGexpenditure'!A1" display="5 lentelė. VS išlaidų augimo ribojimo taisyklė" xr:uid="{9CB7E7FD-E64A-4E3D-B843-517140A4F465}"/>
    <hyperlink ref="D24" location="'6. GGbudgets'!A1" display="6 lentelė. VS priskiriamų biudžetų taisyklė" xr:uid="{9619B179-650F-40CC-8D91-91DBA72A91EC}"/>
    <hyperlink ref="D36" r:id="rId1" display="http://www3.lrs.lt/pls/inter3/dokpaieska.showdoc_l?p_id=487268&amp;p_tr2=2" xr:uid="{DDC9A2C8-E1C0-4CF4-BC74-7FF78E256ED8}"/>
    <hyperlink ref="D38" r:id="rId2" display="Lietuvos Respublikos fiskalinės drausmės įstatymas" xr:uid="{F4FFA9C7-1444-4704-90F5-2ECFABD928E1}"/>
    <hyperlink ref="D39" r:id="rId3" xr:uid="{3C5B1BA1-E78A-448A-B1EF-3C53FDDD686B}"/>
    <hyperlink ref="D37" r:id="rId4" xr:uid="{AB0085CB-F5E8-4B40-995B-4E4EFCC9A3FD}"/>
    <hyperlink ref="D28" location="'7. History'!A1" display="7. Istorinis taisyklių laikymasis / Historical adherence to fiscal rules" xr:uid="{B7035896-7775-4191-A1D3-81E3D9E3D154}"/>
    <hyperlink ref="D32" location="'8. NET_EXP_EU'!A1" display="8. Grynųjų išlaidų augimo atitiktis FSP riboms / Net expenditure growth compliance with FSP limits" xr:uid="{BCC51EB3-549C-401D-8CC7-5D66C2E93444}"/>
    <hyperlink ref="D40" r:id="rId5" xr:uid="{4639B2A2-D41D-4023-971E-88C29001AD81}"/>
    <hyperlink ref="D41" r:id="rId6" xr:uid="{7BF0481D-953F-464A-B871-8E9008BC23B2}"/>
    <hyperlink ref="D42" r:id="rId7" xr:uid="{36A122AF-C97B-4FD3-9A49-5BF010A812F5}"/>
  </hyperlinks>
  <pageMargins left="0.7" right="0.7" top="0.75" bottom="0.75" header="0.3" footer="0.3"/>
  <pageSetup orientation="portrait"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5CE57-DFC5-4CBB-82A9-BAA12C02B2A6}">
  <sheetPr codeName="Lapas2">
    <tabColor theme="7"/>
  </sheetPr>
  <dimension ref="A1:E35"/>
  <sheetViews>
    <sheetView showGridLines="0" zoomScaleNormal="100" workbookViewId="0">
      <selection activeCell="F28" sqref="F28"/>
    </sheetView>
  </sheetViews>
  <sheetFormatPr defaultColWidth="10" defaultRowHeight="14.25"/>
  <cols>
    <col min="1" max="1" width="4.28515625" style="1" customWidth="1"/>
    <col min="2" max="2" width="62.28515625" style="5" customWidth="1"/>
    <col min="3" max="4" width="19.42578125" style="5" customWidth="1"/>
    <col min="5" max="5" width="9.42578125" style="1" customWidth="1"/>
    <col min="6" max="6" width="51.7109375" style="1" customWidth="1"/>
    <col min="7" max="16384" width="10" style="1"/>
  </cols>
  <sheetData>
    <row r="1" spans="1:4">
      <c r="B1" s="69" t="s">
        <v>32</v>
      </c>
      <c r="C1" s="3"/>
      <c r="D1" s="3"/>
    </row>
    <row r="2" spans="1:4" ht="15" thickBot="1">
      <c r="A2" s="4" t="s">
        <v>33</v>
      </c>
    </row>
    <row r="3" spans="1:4" ht="35.25" customHeight="1" thickTop="1" thickBot="1">
      <c r="B3" s="412" t="s">
        <v>34</v>
      </c>
      <c r="C3" s="413"/>
      <c r="D3" s="414"/>
    </row>
    <row r="4" spans="1:4" ht="17.25" customHeight="1" thickBot="1">
      <c r="B4" s="164" t="s">
        <v>35</v>
      </c>
      <c r="C4" s="418"/>
      <c r="D4" s="419"/>
    </row>
    <row r="5" spans="1:4" ht="33" customHeight="1" thickBot="1">
      <c r="B5" s="165" t="s">
        <v>36</v>
      </c>
      <c r="C5" s="90" t="s">
        <v>37</v>
      </c>
      <c r="D5" s="97" t="s">
        <v>38</v>
      </c>
    </row>
    <row r="6" spans="1:4" ht="17.25" customHeight="1">
      <c r="B6" s="166" t="s">
        <v>39</v>
      </c>
      <c r="C6" s="422" t="str">
        <f>'4. SurplusGG'!E6</f>
        <v>Ne</v>
      </c>
      <c r="D6" s="423"/>
    </row>
    <row r="7" spans="1:4" ht="17.25" customHeight="1" thickBot="1">
      <c r="B7" s="167" t="s">
        <v>40</v>
      </c>
      <c r="C7" s="424" t="str">
        <f>'4. SurplusGG'!E7</f>
        <v>No</v>
      </c>
      <c r="D7" s="425"/>
    </row>
    <row r="8" spans="1:4" ht="17.45" customHeight="1" thickBot="1">
      <c r="B8" s="415" t="s">
        <v>41</v>
      </c>
      <c r="C8" s="416"/>
      <c r="D8" s="417"/>
    </row>
    <row r="9" spans="1:4" ht="17.45" customHeight="1" thickBot="1">
      <c r="B9" s="410" t="s">
        <v>42</v>
      </c>
      <c r="C9" s="91" t="str">
        <f>"Netaikoma"</f>
        <v>Netaikoma</v>
      </c>
      <c r="D9" s="95" t="str">
        <f>"Netaikoma"</f>
        <v>Netaikoma</v>
      </c>
    </row>
    <row r="10" spans="1:4" ht="53.45" customHeight="1">
      <c r="B10" s="411"/>
      <c r="C10" s="93" t="str">
        <f>"Remiantis KĮ 10 str. 5 d."</f>
        <v>Remiantis KĮ 10 str. 5 d.</v>
      </c>
      <c r="D10" s="94" t="str">
        <f>"Remiantis KĮ 10 str. 5 d."</f>
        <v>Remiantis KĮ 10 str. 5 d.</v>
      </c>
    </row>
    <row r="11" spans="1:4" ht="15.75" customHeight="1" thickBot="1">
      <c r="B11" s="420" t="s">
        <v>43</v>
      </c>
      <c r="C11" s="134" t="str">
        <f>"Not applied"</f>
        <v>Not applied</v>
      </c>
      <c r="D11" s="163" t="str">
        <f>"Not applied"</f>
        <v>Not applied</v>
      </c>
    </row>
    <row r="12" spans="1:4" ht="41.45" customHeight="1" thickBot="1">
      <c r="B12" s="421"/>
      <c r="C12" s="92" t="str">
        <f>"In accordance with Article 10(5) of the CL"</f>
        <v>In accordance with Article 10(5) of the CL</v>
      </c>
      <c r="D12" s="96" t="s">
        <v>44</v>
      </c>
    </row>
    <row r="13" spans="1:4" ht="21" customHeight="1" thickBot="1">
      <c r="B13" s="407" t="s">
        <v>45</v>
      </c>
      <c r="C13" s="408"/>
      <c r="D13" s="409"/>
    </row>
    <row r="14" spans="1:4" ht="18" customHeight="1" thickBot="1">
      <c r="B14" s="430" t="s">
        <v>46</v>
      </c>
      <c r="C14" s="91" t="str">
        <f>'5. GGexpenditure'!F23</f>
        <v>Taip</v>
      </c>
      <c r="D14" s="95" t="str">
        <f>'5. GGexpenditure'!G23</f>
        <v>Taip</v>
      </c>
    </row>
    <row r="15" spans="1:4" ht="48.75" customHeight="1">
      <c r="B15" s="431"/>
      <c r="C15" s="93" t="str">
        <f>'5. GGexpenditure'!F24</f>
        <v>Susidaro A1 A5 aplinkybės</v>
      </c>
      <c r="D15" s="94" t="str">
        <f>'5. GGexpenditure'!G24</f>
        <v>Susidaro A1 A5 aplinkybės</v>
      </c>
    </row>
    <row r="16" spans="1:4" ht="18" customHeight="1">
      <c r="B16" s="432" t="s">
        <v>47</v>
      </c>
      <c r="C16" s="134" t="str">
        <f>'5. GGexpenditure'!F25</f>
        <v>Yes</v>
      </c>
      <c r="D16" s="163" t="str">
        <f>'5. GGexpenditure'!G25</f>
        <v>Yes</v>
      </c>
    </row>
    <row r="17" spans="2:5" ht="52.5" customHeight="1" thickBot="1">
      <c r="B17" s="433"/>
      <c r="C17" s="92" t="str">
        <f>'5. GGexpenditure'!F26</f>
        <v>Escape clauses A1 A5 emerge</v>
      </c>
      <c r="D17" s="96" t="str">
        <f>'5. GGexpenditure'!G26</f>
        <v>Escape clauses A1 A5 emerge</v>
      </c>
    </row>
    <row r="18" spans="2:5" ht="22.5" customHeight="1">
      <c r="B18" s="431" t="s">
        <v>48</v>
      </c>
      <c r="C18" s="91" t="str">
        <f>'5. GGexpenditure'!F31</f>
        <v>Netaikoma</v>
      </c>
      <c r="D18" s="95" t="str">
        <f>'5. GGexpenditure'!G31</f>
        <v>Netaikoma</v>
      </c>
    </row>
    <row r="19" spans="2:5" ht="69" customHeight="1">
      <c r="B19" s="434"/>
      <c r="C19" s="93" t="s">
        <v>49</v>
      </c>
      <c r="D19" s="94" t="s">
        <v>49</v>
      </c>
    </row>
    <row r="20" spans="2:5">
      <c r="B20" s="432" t="s">
        <v>50</v>
      </c>
      <c r="C20" s="134" t="str">
        <f>'5. GGexpenditure'!F33</f>
        <v>Not applied</v>
      </c>
      <c r="D20" s="163" t="str">
        <f>'5. GGexpenditure'!G33</f>
        <v>Not applied</v>
      </c>
    </row>
    <row r="21" spans="2:5" ht="64.5" customHeight="1" thickBot="1">
      <c r="B21" s="433"/>
      <c r="C21" s="92" t="s">
        <v>44</v>
      </c>
      <c r="D21" s="96" t="s">
        <v>44</v>
      </c>
    </row>
    <row r="22" spans="2:5" ht="19.5" customHeight="1">
      <c r="B22" s="168" t="s">
        <v>51</v>
      </c>
      <c r="C22" s="91" t="str">
        <f>'5. GGexpenditure'!F31</f>
        <v>Netaikoma</v>
      </c>
      <c r="D22" s="95" t="str">
        <f>'5. GGexpenditure'!G31</f>
        <v>Netaikoma</v>
      </c>
    </row>
    <row r="23" spans="2:5" ht="15" thickBot="1">
      <c r="B23" s="167" t="s">
        <v>52</v>
      </c>
      <c r="C23" s="92" t="str">
        <f>'5. GGexpenditure'!F33</f>
        <v>Not applied</v>
      </c>
      <c r="D23" s="96" t="str">
        <f>'5. GGexpenditure'!G33</f>
        <v>Not applied</v>
      </c>
    </row>
    <row r="24" spans="2:5" ht="15.75" customHeight="1" thickBot="1">
      <c r="B24" s="407" t="s">
        <v>53</v>
      </c>
      <c r="C24" s="408" t="s">
        <v>54</v>
      </c>
      <c r="D24" s="409"/>
    </row>
    <row r="25" spans="2:5">
      <c r="B25" s="168" t="s">
        <v>55</v>
      </c>
      <c r="C25" s="91" t="str">
        <f>'6. GGbudgets'!E9</f>
        <v>Netenkinama</v>
      </c>
      <c r="D25" s="95" t="str">
        <f>'6. GGbudgets'!F9</f>
        <v>Netenkinama</v>
      </c>
    </row>
    <row r="26" spans="2:5" ht="15" thickBot="1">
      <c r="B26" s="167" t="s">
        <v>56</v>
      </c>
      <c r="C26" s="92" t="str">
        <f>'6. GGbudgets'!E10</f>
        <v xml:space="preserve">Invalid </v>
      </c>
      <c r="D26" s="96" t="str">
        <f>'6. GGbudgets'!F10</f>
        <v xml:space="preserve">Invalid </v>
      </c>
    </row>
    <row r="27" spans="2:5">
      <c r="B27" s="168" t="s">
        <v>57</v>
      </c>
      <c r="C27" s="91" t="str">
        <f>'6. GGbudgets'!E17</f>
        <v>Tenkinama</v>
      </c>
      <c r="D27" s="95" t="str">
        <f>'6. GGbudgets'!F17</f>
        <v>Tenkinama</v>
      </c>
    </row>
    <row r="28" spans="2:5" ht="15" thickBot="1">
      <c r="B28" s="169" t="s">
        <v>58</v>
      </c>
      <c r="C28" s="92" t="str">
        <f>'6. GGbudgets'!E18</f>
        <v>Valid</v>
      </c>
      <c r="D28" s="96" t="str">
        <f>'6. GGbudgets'!F18</f>
        <v>Valid</v>
      </c>
    </row>
    <row r="29" spans="2:5" ht="15.75" thickBot="1">
      <c r="B29" s="407" t="s">
        <v>59</v>
      </c>
      <c r="C29" s="408"/>
      <c r="D29" s="409"/>
    </row>
    <row r="30" spans="2:5" ht="38.25" customHeight="1">
      <c r="B30" s="439" t="s">
        <v>60</v>
      </c>
      <c r="C30" s="435" t="str">
        <f>'8. NET_EXP_EU'!C3</f>
        <v>Tenkinama</v>
      </c>
      <c r="D30" s="436"/>
    </row>
    <row r="31" spans="2:5" ht="26.45" customHeight="1" thickBot="1">
      <c r="B31" s="440"/>
      <c r="C31" s="437" t="str">
        <f>'8. NET_EXP_EU'!C4</f>
        <v>Valid</v>
      </c>
      <c r="D31" s="438"/>
    </row>
    <row r="32" spans="2:5" ht="15.75" thickTop="1" thickBot="1">
      <c r="B32" s="6" t="s">
        <v>61</v>
      </c>
      <c r="C32" s="6"/>
      <c r="D32" s="6"/>
      <c r="E32" s="37" t="s">
        <v>62</v>
      </c>
    </row>
    <row r="33" spans="2:5" ht="15.75" thickTop="1" thickBot="1">
      <c r="B33" s="7" t="s">
        <v>63</v>
      </c>
      <c r="C33" s="426" t="s">
        <v>37</v>
      </c>
      <c r="D33" s="427"/>
      <c r="E33" s="37" t="s">
        <v>64</v>
      </c>
    </row>
    <row r="34" spans="2:5" ht="15" thickBot="1">
      <c r="B34" s="333" t="s">
        <v>65</v>
      </c>
      <c r="C34" s="428" t="s">
        <v>38</v>
      </c>
      <c r="D34" s="429"/>
      <c r="E34" s="37" t="s">
        <v>66</v>
      </c>
    </row>
    <row r="35" spans="2:5" ht="15" thickTop="1"/>
  </sheetData>
  <mergeCells count="19">
    <mergeCell ref="B24:D24"/>
    <mergeCell ref="C33:D33"/>
    <mergeCell ref="C34:D34"/>
    <mergeCell ref="B14:B15"/>
    <mergeCell ref="B16:B17"/>
    <mergeCell ref="B20:B21"/>
    <mergeCell ref="B18:B19"/>
    <mergeCell ref="B29:D29"/>
    <mergeCell ref="C30:D30"/>
    <mergeCell ref="C31:D31"/>
    <mergeCell ref="B30:B31"/>
    <mergeCell ref="B13:D13"/>
    <mergeCell ref="B9:B10"/>
    <mergeCell ref="B3:D3"/>
    <mergeCell ref="B8:D8"/>
    <mergeCell ref="C4:D4"/>
    <mergeCell ref="B11:B12"/>
    <mergeCell ref="C6:D6"/>
    <mergeCell ref="C7:D7"/>
  </mergeCells>
  <hyperlinks>
    <hyperlink ref="B1" location="Content!A1" display="↖ atgal į turinį" xr:uid="{16A60619-3E68-4079-A181-2B68AB29D2D4}"/>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9273-8DEC-4A65-BBA5-16C15FB3E7E0}">
  <sheetPr codeName="Lapas3">
    <tabColor theme="7"/>
  </sheetPr>
  <dimension ref="A1:Y61"/>
  <sheetViews>
    <sheetView showGridLines="0" zoomScale="70" zoomScaleNormal="70" workbookViewId="0">
      <pane ySplit="5" topLeftCell="A38" activePane="bottomLeft" state="frozen"/>
      <selection pane="bottomLeft" activeCell="L11" sqref="L11"/>
    </sheetView>
  </sheetViews>
  <sheetFormatPr defaultColWidth="10" defaultRowHeight="14.25"/>
  <cols>
    <col min="1" max="1" width="4.5703125" style="1" customWidth="1"/>
    <col min="2" max="2" width="51.28515625" style="1" customWidth="1"/>
    <col min="3" max="3" width="40.85546875" style="1" customWidth="1"/>
    <col min="4" max="4" width="21.140625" style="1" customWidth="1"/>
    <col min="5" max="7" width="11.42578125" style="1" customWidth="1"/>
    <col min="8" max="8" width="11.7109375" style="1" customWidth="1"/>
    <col min="9" max="11" width="11.42578125" style="1" customWidth="1"/>
    <col min="12" max="12" width="11.7109375" style="44" customWidth="1"/>
    <col min="13" max="13" width="11.42578125" style="44" customWidth="1"/>
    <col min="14" max="15" width="11.42578125" style="44" hidden="1" customWidth="1"/>
    <col min="16" max="17" width="0" style="1" hidden="1" customWidth="1"/>
    <col min="18" max="16384" width="10" style="1"/>
  </cols>
  <sheetData>
    <row r="1" spans="1:19">
      <c r="B1" s="69" t="s">
        <v>32</v>
      </c>
      <c r="C1" s="3"/>
      <c r="D1" s="3"/>
    </row>
    <row r="2" spans="1:19" ht="15" thickBot="1">
      <c r="A2" s="8" t="s">
        <v>33</v>
      </c>
      <c r="B2" s="9"/>
      <c r="C2" s="9"/>
    </row>
    <row r="3" spans="1:19" ht="40.15" customHeight="1" thickTop="1" thickBot="1">
      <c r="B3" s="452" t="s">
        <v>67</v>
      </c>
      <c r="C3" s="453"/>
      <c r="D3" s="453"/>
      <c r="E3" s="453"/>
      <c r="F3" s="453"/>
      <c r="G3" s="453"/>
      <c r="H3" s="453"/>
      <c r="I3" s="453"/>
      <c r="J3" s="453"/>
      <c r="K3" s="453"/>
      <c r="L3" s="453"/>
      <c r="M3" s="453"/>
      <c r="N3" s="453"/>
      <c r="O3" s="453"/>
      <c r="P3" s="453"/>
      <c r="Q3" s="454"/>
    </row>
    <row r="4" spans="1:19" ht="22.9" customHeight="1" thickBot="1">
      <c r="B4" s="449" t="s">
        <v>68</v>
      </c>
      <c r="C4" s="418" t="s">
        <v>69</v>
      </c>
      <c r="D4" s="450" t="s">
        <v>70</v>
      </c>
      <c r="E4" s="458"/>
      <c r="F4" s="459"/>
      <c r="G4" s="459"/>
      <c r="H4" s="459"/>
      <c r="I4" s="459"/>
      <c r="J4" s="459"/>
      <c r="K4" s="459"/>
      <c r="L4" s="459"/>
      <c r="M4" s="369"/>
      <c r="N4" s="455" t="s">
        <v>71</v>
      </c>
      <c r="O4" s="456"/>
      <c r="P4" s="456"/>
      <c r="Q4" s="457"/>
    </row>
    <row r="5" spans="1:19" ht="20.25" customHeight="1" thickBot="1">
      <c r="B5" s="449"/>
      <c r="C5" s="418"/>
      <c r="D5" s="450"/>
      <c r="E5" s="336">
        <f>2017</f>
        <v>2017</v>
      </c>
      <c r="F5" s="336">
        <f>E5+1</f>
        <v>2018</v>
      </c>
      <c r="G5" s="336">
        <f t="shared" ref="G5:M5" si="0">F5+1</f>
        <v>2019</v>
      </c>
      <c r="H5" s="336">
        <f t="shared" si="0"/>
        <v>2020</v>
      </c>
      <c r="I5" s="336">
        <f t="shared" si="0"/>
        <v>2021</v>
      </c>
      <c r="J5" s="336">
        <f t="shared" si="0"/>
        <v>2022</v>
      </c>
      <c r="K5" s="336">
        <f t="shared" si="0"/>
        <v>2023</v>
      </c>
      <c r="L5" s="336">
        <f t="shared" si="0"/>
        <v>2024</v>
      </c>
      <c r="M5" s="336">
        <f t="shared" si="0"/>
        <v>2025</v>
      </c>
      <c r="N5" s="336" t="str">
        <f>CONCATENATE(K5+3,"P")</f>
        <v>2026P</v>
      </c>
      <c r="O5" s="336" t="str">
        <f>CONCATENATE(K5+4,"P")</f>
        <v>2027P</v>
      </c>
      <c r="P5" s="336" t="str">
        <f>CONCATENATE(K5+5,"P")</f>
        <v>2028P</v>
      </c>
      <c r="Q5" s="339" t="str">
        <f>CONCATENATE(L5+5,"P")</f>
        <v>2029P</v>
      </c>
    </row>
    <row r="6" spans="1:19" ht="15" thickBot="1">
      <c r="B6" s="340" t="s">
        <v>72</v>
      </c>
      <c r="C6" s="72" t="s">
        <v>73</v>
      </c>
      <c r="D6" s="73"/>
      <c r="E6" s="337" t="s">
        <v>74</v>
      </c>
      <c r="F6" s="337" t="s">
        <v>75</v>
      </c>
      <c r="G6" s="337" t="s">
        <v>76</v>
      </c>
      <c r="H6" s="337" t="s">
        <v>77</v>
      </c>
      <c r="I6" s="337" t="s">
        <v>78</v>
      </c>
      <c r="J6" s="337" t="s">
        <v>79</v>
      </c>
      <c r="K6" s="337" t="s">
        <v>80</v>
      </c>
      <c r="L6" s="337" t="s">
        <v>81</v>
      </c>
      <c r="M6" s="337" t="s">
        <v>82</v>
      </c>
      <c r="N6" s="337" t="s">
        <v>83</v>
      </c>
      <c r="O6" s="337" t="s">
        <v>84</v>
      </c>
      <c r="P6" s="337" t="s">
        <v>85</v>
      </c>
      <c r="Q6" s="363" t="s">
        <v>86</v>
      </c>
    </row>
    <row r="7" spans="1:19" ht="15" thickBot="1">
      <c r="B7" s="446" t="s">
        <v>87</v>
      </c>
      <c r="C7" s="451" t="s">
        <v>88</v>
      </c>
      <c r="D7" s="338">
        <v>46084</v>
      </c>
      <c r="E7" s="170">
        <v>42274.6</v>
      </c>
      <c r="F7" s="170">
        <v>45947.4</v>
      </c>
      <c r="G7" s="170">
        <v>49239.199999999997</v>
      </c>
      <c r="H7" s="170">
        <v>50264.6</v>
      </c>
      <c r="I7" s="170">
        <v>56709.1</v>
      </c>
      <c r="J7" s="170">
        <v>67081.100000000006</v>
      </c>
      <c r="K7" s="170">
        <v>74317</v>
      </c>
      <c r="L7" s="170">
        <v>78996.2</v>
      </c>
      <c r="M7" s="170">
        <v>84061.2</v>
      </c>
      <c r="N7" s="343">
        <v>89629.09923367278</v>
      </c>
      <c r="O7" s="343">
        <v>94125.961780785641</v>
      </c>
      <c r="P7" s="343">
        <v>99276.268281618133</v>
      </c>
      <c r="Q7" s="344">
        <v>104507.81320753349</v>
      </c>
    </row>
    <row r="8" spans="1:19" ht="15" thickBot="1">
      <c r="B8" s="447"/>
      <c r="C8" s="451"/>
      <c r="D8" s="338">
        <v>46084</v>
      </c>
      <c r="E8" s="170">
        <f>E7</f>
        <v>42274.6</v>
      </c>
      <c r="F8" s="170">
        <f t="shared" ref="F8:M8" si="1">F7</f>
        <v>45947.4</v>
      </c>
      <c r="G8" s="170">
        <f t="shared" si="1"/>
        <v>49239.199999999997</v>
      </c>
      <c r="H8" s="170">
        <f t="shared" si="1"/>
        <v>50264.6</v>
      </c>
      <c r="I8" s="170">
        <f t="shared" si="1"/>
        <v>56709.1</v>
      </c>
      <c r="J8" s="170">
        <f t="shared" si="1"/>
        <v>67081.100000000006</v>
      </c>
      <c r="K8" s="170">
        <f t="shared" si="1"/>
        <v>74317</v>
      </c>
      <c r="L8" s="170">
        <f t="shared" si="1"/>
        <v>78996.2</v>
      </c>
      <c r="M8" s="170">
        <f t="shared" si="1"/>
        <v>84061.2</v>
      </c>
      <c r="N8" s="343">
        <f t="shared" ref="N8:O8" si="2">N7</f>
        <v>89629.09923367278</v>
      </c>
      <c r="O8" s="343">
        <f t="shared" si="2"/>
        <v>94125.961780785641</v>
      </c>
      <c r="P8" s="343">
        <f t="shared" ref="P8:Q8" si="3">P7</f>
        <v>99276.268281618133</v>
      </c>
      <c r="Q8" s="344">
        <f t="shared" si="3"/>
        <v>104507.81320753349</v>
      </c>
    </row>
    <row r="9" spans="1:19" ht="15" thickBot="1">
      <c r="B9" s="446" t="s">
        <v>89</v>
      </c>
      <c r="C9" s="441" t="s">
        <v>90</v>
      </c>
      <c r="D9" s="338">
        <f>$D$7</f>
        <v>46084</v>
      </c>
      <c r="E9" s="345"/>
      <c r="F9" s="345">
        <f>(F7/E7-1)*100</f>
        <v>8.6879592000870467</v>
      </c>
      <c r="G9" s="345">
        <f t="shared" ref="G9:J9" si="4">(G7/F7-1)*100</f>
        <v>7.1642791539891171</v>
      </c>
      <c r="H9" s="345">
        <f t="shared" si="4"/>
        <v>2.0824871240800125</v>
      </c>
      <c r="I9" s="345">
        <f t="shared" si="4"/>
        <v>12.821150471703735</v>
      </c>
      <c r="J9" s="345">
        <f t="shared" si="4"/>
        <v>18.289833554050428</v>
      </c>
      <c r="K9" s="345">
        <f>(K7/J7-1)*100</f>
        <v>10.786793895747081</v>
      </c>
      <c r="L9" s="359">
        <f>(L7/K7-1)*100</f>
        <v>6.2962713780157831</v>
      </c>
      <c r="M9" s="359">
        <f t="shared" ref="L9:N10" si="5">(M7/L7-1)*100</f>
        <v>6.411700815988608</v>
      </c>
      <c r="N9" s="343">
        <f t="shared" si="5"/>
        <v>6.6236256842309826</v>
      </c>
      <c r="O9" s="343">
        <f t="shared" ref="O9:Q10" si="6">(O7/N7-1)*100</f>
        <v>5.0171903829905107</v>
      </c>
      <c r="P9" s="343">
        <f t="shared" si="6"/>
        <v>5.4717172641776335</v>
      </c>
      <c r="Q9" s="344">
        <f t="shared" si="6"/>
        <v>5.2696832953823103</v>
      </c>
    </row>
    <row r="10" spans="1:19" ht="15" thickBot="1">
      <c r="B10" s="447"/>
      <c r="C10" s="441"/>
      <c r="D10" s="338">
        <f>$D$8</f>
        <v>46084</v>
      </c>
      <c r="E10" s="345"/>
      <c r="F10" s="345">
        <f>(F8/E8-1)*100</f>
        <v>8.6879592000870467</v>
      </c>
      <c r="G10" s="345">
        <f t="shared" ref="G10:K10" si="7">(G8/F8-1)*100</f>
        <v>7.1642791539891171</v>
      </c>
      <c r="H10" s="345">
        <f t="shared" si="7"/>
        <v>2.0824871240800125</v>
      </c>
      <c r="I10" s="345">
        <f t="shared" si="7"/>
        <v>12.821150471703735</v>
      </c>
      <c r="J10" s="345">
        <f t="shared" si="7"/>
        <v>18.289833554050428</v>
      </c>
      <c r="K10" s="345">
        <f t="shared" si="7"/>
        <v>10.786793895747081</v>
      </c>
      <c r="L10" s="359">
        <f t="shared" si="5"/>
        <v>6.2962713780157831</v>
      </c>
      <c r="M10" s="359">
        <f>(M8/L8-1)*100</f>
        <v>6.411700815988608</v>
      </c>
      <c r="N10" s="343">
        <f t="shared" si="5"/>
        <v>6.6236256842309826</v>
      </c>
      <c r="O10" s="343">
        <f t="shared" si="6"/>
        <v>5.0171903829905107</v>
      </c>
      <c r="P10" s="343">
        <f t="shared" si="6"/>
        <v>5.4717172641776335</v>
      </c>
      <c r="Q10" s="344">
        <f t="shared" si="6"/>
        <v>5.2696832953823103</v>
      </c>
    </row>
    <row r="11" spans="1:19" ht="15" thickBot="1">
      <c r="B11" s="446" t="s">
        <v>91</v>
      </c>
      <c r="C11" s="441" t="s">
        <v>92</v>
      </c>
      <c r="D11" s="338">
        <f>$D$7</f>
        <v>46084</v>
      </c>
      <c r="E11" s="170">
        <v>48511.199999999997</v>
      </c>
      <c r="F11" s="170">
        <v>50897.2</v>
      </c>
      <c r="G11" s="170">
        <v>53277.8</v>
      </c>
      <c r="H11" s="170">
        <v>53300.6</v>
      </c>
      <c r="I11" s="170">
        <v>56709.1</v>
      </c>
      <c r="J11" s="170">
        <v>58107.199999999997</v>
      </c>
      <c r="K11" s="170">
        <v>58536.9</v>
      </c>
      <c r="L11" s="170">
        <v>60310.7</v>
      </c>
      <c r="M11" s="170">
        <v>62034.400000000001</v>
      </c>
      <c r="N11" s="343">
        <v>63988.032598925362</v>
      </c>
      <c r="O11" s="343">
        <v>65482.2215595991</v>
      </c>
      <c r="P11" s="343">
        <v>67297.952795770572</v>
      </c>
      <c r="Q11" s="344">
        <v>69065.64787504109</v>
      </c>
    </row>
    <row r="12" spans="1:19" ht="15" thickBot="1">
      <c r="B12" s="447"/>
      <c r="C12" s="441"/>
      <c r="D12" s="338">
        <f>D10</f>
        <v>46084</v>
      </c>
      <c r="E12" s="170">
        <f>E11</f>
        <v>48511.199999999997</v>
      </c>
      <c r="F12" s="170">
        <f t="shared" ref="F12:M12" si="8">F11</f>
        <v>50897.2</v>
      </c>
      <c r="G12" s="170">
        <f t="shared" si="8"/>
        <v>53277.8</v>
      </c>
      <c r="H12" s="170">
        <f t="shared" si="8"/>
        <v>53300.6</v>
      </c>
      <c r="I12" s="170">
        <f t="shared" si="8"/>
        <v>56709.1</v>
      </c>
      <c r="J12" s="170">
        <f t="shared" si="8"/>
        <v>58107.199999999997</v>
      </c>
      <c r="K12" s="170">
        <f t="shared" si="8"/>
        <v>58536.9</v>
      </c>
      <c r="L12" s="170">
        <f t="shared" si="8"/>
        <v>60310.7</v>
      </c>
      <c r="M12" s="170">
        <f t="shared" si="8"/>
        <v>62034.400000000001</v>
      </c>
      <c r="N12" s="343">
        <f t="shared" ref="N12:O12" si="9">N11</f>
        <v>63988.032598925362</v>
      </c>
      <c r="O12" s="343">
        <f t="shared" si="9"/>
        <v>65482.2215595991</v>
      </c>
      <c r="P12" s="343">
        <f t="shared" ref="P12:Q12" si="10">P11</f>
        <v>67297.952795770572</v>
      </c>
      <c r="Q12" s="344">
        <f t="shared" si="10"/>
        <v>69065.64787504109</v>
      </c>
      <c r="S12" s="47"/>
    </row>
    <row r="13" spans="1:19" ht="15" thickBot="1">
      <c r="B13" s="446" t="s">
        <v>93</v>
      </c>
      <c r="C13" s="441" t="s">
        <v>94</v>
      </c>
      <c r="D13" s="338">
        <f>$D$7</f>
        <v>46084</v>
      </c>
      <c r="E13" s="345"/>
      <c r="F13" s="345">
        <f>(F11/E11-1)*100</f>
        <v>4.9184518214350437</v>
      </c>
      <c r="G13" s="345">
        <f t="shared" ref="G13:J13" si="11">(G11/F11-1)*100</f>
        <v>4.6772710483091506</v>
      </c>
      <c r="H13" s="345">
        <f t="shared" si="11"/>
        <v>4.2794559835424018E-2</v>
      </c>
      <c r="I13" s="345">
        <f t="shared" si="11"/>
        <v>6.3948623467653176</v>
      </c>
      <c r="J13" s="345">
        <f t="shared" si="11"/>
        <v>2.4653891527109284</v>
      </c>
      <c r="K13" s="345">
        <f>(K11/J11-1)*100</f>
        <v>0.73949527769365808</v>
      </c>
      <c r="L13" s="359">
        <f t="shared" ref="L13:N13" si="12">(L11/K11-1)*100</f>
        <v>3.0302253792052536</v>
      </c>
      <c r="M13" s="359">
        <f t="shared" si="12"/>
        <v>2.8580334832790877</v>
      </c>
      <c r="N13" s="343">
        <f t="shared" si="12"/>
        <v>3.1492729822894416</v>
      </c>
      <c r="O13" s="343">
        <f>(O11/N11-1)*100</f>
        <v>2.3351068941895203</v>
      </c>
      <c r="P13" s="343">
        <f>(P11/O11-1)*100</f>
        <v>2.7728613857715079</v>
      </c>
      <c r="Q13" s="344">
        <f>(Q11/P11-1)*100</f>
        <v>2.6266699146628492</v>
      </c>
    </row>
    <row r="14" spans="1:19" ht="15" thickBot="1">
      <c r="B14" s="447"/>
      <c r="C14" s="441"/>
      <c r="D14" s="338">
        <f>$D$12</f>
        <v>46084</v>
      </c>
      <c r="E14" s="345"/>
      <c r="F14" s="345">
        <f>(F12/E12-1)*100</f>
        <v>4.9184518214350437</v>
      </c>
      <c r="G14" s="345">
        <f t="shared" ref="G14:H14" si="13">(G12/F12-1)*100</f>
        <v>4.6772710483091506</v>
      </c>
      <c r="H14" s="345">
        <f t="shared" si="13"/>
        <v>4.2794559835424018E-2</v>
      </c>
      <c r="I14" s="346">
        <f>(I12/H12-1)*100</f>
        <v>6.3948623467653176</v>
      </c>
      <c r="J14" s="346">
        <f>(J12-I12)/I12*100</f>
        <v>2.4653891527109382</v>
      </c>
      <c r="K14" s="346">
        <f>(K12-J12)/J12*100</f>
        <v>0.73949527769364964</v>
      </c>
      <c r="L14" s="359">
        <f t="shared" ref="L14:N14" si="14">(L12-K12)/K12*100</f>
        <v>3.030225379205246</v>
      </c>
      <c r="M14" s="359">
        <f t="shared" si="14"/>
        <v>2.8580334832790939</v>
      </c>
      <c r="N14" s="343">
        <f t="shared" si="14"/>
        <v>3.1492729822894394</v>
      </c>
      <c r="O14" s="343">
        <f>(O12-N12)/N12*100</f>
        <v>2.3351068941895123</v>
      </c>
      <c r="P14" s="343">
        <f>(P12-O12)/O12*100</f>
        <v>2.7728613857715132</v>
      </c>
      <c r="Q14" s="344">
        <f>(Q12-P12)/P12*100</f>
        <v>2.626669914662858</v>
      </c>
    </row>
    <row r="15" spans="1:19" ht="15" thickBot="1">
      <c r="B15" s="446" t="s">
        <v>95</v>
      </c>
      <c r="C15" s="441" t="s">
        <v>96</v>
      </c>
      <c r="D15" s="338">
        <v>46148</v>
      </c>
      <c r="E15" s="347">
        <v>47816.968919322258</v>
      </c>
      <c r="F15" s="347">
        <v>49373.126580359385</v>
      </c>
      <c r="G15" s="347">
        <v>51046.783846989005</v>
      </c>
      <c r="H15" s="347">
        <v>52698.511763299204</v>
      </c>
      <c r="I15" s="347">
        <v>54570.259755428371</v>
      </c>
      <c r="J15" s="347">
        <v>56414.710718287235</v>
      </c>
      <c r="K15" s="347">
        <v>58285.118502478654</v>
      </c>
      <c r="L15" s="347">
        <v>60183.452003182654</v>
      </c>
      <c r="M15" s="347">
        <v>62088.843481521639</v>
      </c>
      <c r="N15" s="347">
        <v>63979.831173348051</v>
      </c>
      <c r="O15" s="347">
        <v>65838.759446410026</v>
      </c>
      <c r="P15" s="347">
        <v>67650.623831518751</v>
      </c>
      <c r="Q15" s="348">
        <v>69398.993183839077</v>
      </c>
    </row>
    <row r="16" spans="1:19" ht="15" thickBot="1">
      <c r="B16" s="447"/>
      <c r="C16" s="441"/>
      <c r="D16" s="338">
        <v>46148</v>
      </c>
      <c r="E16" s="343">
        <v>47252.648110885981</v>
      </c>
      <c r="F16" s="343">
        <v>48955.759576137949</v>
      </c>
      <c r="G16" s="343">
        <v>51133.485592727047</v>
      </c>
      <c r="H16" s="343">
        <v>53227.064330993577</v>
      </c>
      <c r="I16" s="343">
        <v>55440.96180181489</v>
      </c>
      <c r="J16" s="343">
        <v>57502.167752525791</v>
      </c>
      <c r="K16" s="343">
        <v>59536.938512250621</v>
      </c>
      <c r="L16" s="343">
        <v>61192.279702758868</v>
      </c>
      <c r="M16" s="343">
        <v>62674.723379821815</v>
      </c>
      <c r="N16" s="343">
        <v>64242.431008676394</v>
      </c>
      <c r="O16" s="343">
        <v>65798.102597435267</v>
      </c>
      <c r="P16" s="343">
        <v>67454.239041971654</v>
      </c>
      <c r="Q16" s="344">
        <v>69183.766555214985</v>
      </c>
      <c r="R16" s="47"/>
    </row>
    <row r="17" spans="2:25" ht="15" thickBot="1">
      <c r="B17" s="446" t="s">
        <v>97</v>
      </c>
      <c r="C17" s="441" t="s">
        <v>98</v>
      </c>
      <c r="D17" s="338">
        <f>D15</f>
        <v>46148</v>
      </c>
      <c r="E17" s="347"/>
      <c r="F17" s="347">
        <f>(F15/E15-1)*100</f>
        <v>3.2544046521700398</v>
      </c>
      <c r="G17" s="347">
        <f>(G15/F15-1)*100</f>
        <v>3.3898142219241256</v>
      </c>
      <c r="H17" s="347">
        <f t="shared" ref="H17:I18" si="15">(H15/G15-1)*100</f>
        <v>3.2357139702693161</v>
      </c>
      <c r="I17" s="347">
        <f t="shared" si="15"/>
        <v>3.5518042720756871</v>
      </c>
      <c r="J17" s="347">
        <f>(J15/I15-1)*100</f>
        <v>3.3799563555777068</v>
      </c>
      <c r="K17" s="347">
        <f>(K15/J15-1)*100</f>
        <v>3.3154610922875971</v>
      </c>
      <c r="L17" s="347">
        <f t="shared" ref="L17:N17" si="16">(L15/K15-1)*100</f>
        <v>3.256978023684165</v>
      </c>
      <c r="M17" s="347">
        <f>(M15/L15-1)*100</f>
        <v>3.1659723975923093</v>
      </c>
      <c r="N17" s="347">
        <f t="shared" si="16"/>
        <v>3.0456159042311581</v>
      </c>
      <c r="O17" s="347">
        <f t="shared" ref="O17:Q18" si="17">(O15/N15-1)*100</f>
        <v>2.9054910570572856</v>
      </c>
      <c r="P17" s="347">
        <f t="shared" si="17"/>
        <v>2.751972243012113</v>
      </c>
      <c r="Q17" s="348">
        <f t="shared" si="17"/>
        <v>2.5844098003805049</v>
      </c>
    </row>
    <row r="18" spans="2:25" ht="15" thickBot="1">
      <c r="B18" s="447"/>
      <c r="C18" s="441"/>
      <c r="D18" s="338">
        <f>$D$16</f>
        <v>46148</v>
      </c>
      <c r="E18" s="343"/>
      <c r="F18" s="343">
        <f>(F16/E16-1)*100</f>
        <v>3.6042667095722125</v>
      </c>
      <c r="G18" s="343">
        <f>(G16/F16-1)*100</f>
        <v>4.448355077000099</v>
      </c>
      <c r="H18" s="343">
        <f t="shared" si="15"/>
        <v>4.0943399691968363</v>
      </c>
      <c r="I18" s="343">
        <f t="shared" si="15"/>
        <v>4.1593454357244708</v>
      </c>
      <c r="J18" s="343">
        <f>(J16/I16-1)*100</f>
        <v>3.7178394524956193</v>
      </c>
      <c r="K18" s="343">
        <f>(K16/J16-1)*100</f>
        <v>3.5385983507299157</v>
      </c>
      <c r="L18" s="343">
        <f t="shared" ref="L18:N18" si="18">(L16/K16-1)*100</f>
        <v>2.7803599443858351</v>
      </c>
      <c r="M18" s="343">
        <f>(M16/L16-1)*100</f>
        <v>2.4225991975848959</v>
      </c>
      <c r="N18" s="343">
        <f t="shared" si="18"/>
        <v>2.5013395262296623</v>
      </c>
      <c r="O18" s="343">
        <f t="shared" si="17"/>
        <v>2.4215640104727099</v>
      </c>
      <c r="P18" s="343">
        <f t="shared" si="17"/>
        <v>2.5169972676399643</v>
      </c>
      <c r="Q18" s="344">
        <f t="shared" si="17"/>
        <v>2.5640012218760333</v>
      </c>
    </row>
    <row r="19" spans="2:25" ht="15" thickBot="1">
      <c r="B19" s="446" t="s">
        <v>99</v>
      </c>
      <c r="C19" s="441" t="s">
        <v>100</v>
      </c>
      <c r="D19" s="338">
        <f>D15</f>
        <v>46148</v>
      </c>
      <c r="E19" s="347">
        <f t="shared" ref="E19:K19" si="19">(E12/E15-1)*100</f>
        <v>1.4518508729590485</v>
      </c>
      <c r="F19" s="347">
        <f t="shared" si="19"/>
        <v>3.086848099765449</v>
      </c>
      <c r="G19" s="347">
        <f t="shared" si="19"/>
        <v>4.3705322546830683</v>
      </c>
      <c r="H19" s="347">
        <f t="shared" si="19"/>
        <v>1.1425146869519454</v>
      </c>
      <c r="I19" s="347">
        <f t="shared" si="19"/>
        <v>3.9194247089118228</v>
      </c>
      <c r="J19" s="347">
        <f t="shared" si="19"/>
        <v>3.0000850135780688</v>
      </c>
      <c r="K19" s="347">
        <f t="shared" si="19"/>
        <v>0.43198247509892429</v>
      </c>
      <c r="L19" s="347">
        <f>(L12/L15-1)*100</f>
        <v>0.21143352961976447</v>
      </c>
      <c r="M19" s="347">
        <f>(M12/M15-1)*100</f>
        <v>-8.7686415898280412E-2</v>
      </c>
      <c r="N19" s="347">
        <f t="shared" ref="N19:O19" si="20">(N12/N15-1)*100</f>
        <v>1.2818767144118226E-2</v>
      </c>
      <c r="O19" s="347">
        <f t="shared" si="20"/>
        <v>-0.54153190280131769</v>
      </c>
      <c r="P19" s="347">
        <f t="shared" ref="P19:Q19" si="21">(P12/P15-1)*100</f>
        <v>-0.52131231875479633</v>
      </c>
      <c r="Q19" s="348">
        <f t="shared" si="21"/>
        <v>-0.48033162082762315</v>
      </c>
    </row>
    <row r="20" spans="2:25" ht="15" thickBot="1">
      <c r="B20" s="447"/>
      <c r="C20" s="441"/>
      <c r="D20" s="338">
        <f>$D$16</f>
        <v>46148</v>
      </c>
      <c r="E20" s="343">
        <f t="shared" ref="E20:I20" si="22">(E$12/E16-1)*100</f>
        <v>2.6634526093873623</v>
      </c>
      <c r="F20" s="343">
        <f t="shared" si="22"/>
        <v>3.9657038123219079</v>
      </c>
      <c r="G20" s="343">
        <f t="shared" si="22"/>
        <v>4.1935619729744245</v>
      </c>
      <c r="H20" s="343">
        <f t="shared" si="22"/>
        <v>0.13815465859461362</v>
      </c>
      <c r="I20" s="343">
        <f t="shared" si="22"/>
        <v>2.2873668799584079</v>
      </c>
      <c r="J20" s="343">
        <f>(J$12/J16-1)*100</f>
        <v>1.0521903279857359</v>
      </c>
      <c r="K20" s="343">
        <f>(K$12/K16-1)*100</f>
        <v>-1.6796942154572614</v>
      </c>
      <c r="L20" s="343">
        <f>(L$12/L16-1)*100</f>
        <v>-1.4406714491454475</v>
      </c>
      <c r="M20" s="343">
        <f>(M$12/M16-1)*100</f>
        <v>-1.0216612779306966</v>
      </c>
      <c r="N20" s="343">
        <f t="shared" ref="N20" si="23">(N$12/N16-1)*100</f>
        <v>-0.39599748290451986</v>
      </c>
      <c r="O20" s="343">
        <f>(O$12/O16-1)*100</f>
        <v>-0.48007621096429753</v>
      </c>
      <c r="P20" s="343">
        <f>(P$12/P16-1)*100</f>
        <v>-0.23169225303073526</v>
      </c>
      <c r="Q20" s="344">
        <f>(Q$12/Q16-1)*100</f>
        <v>-0.17073178587295734</v>
      </c>
    </row>
    <row r="21" spans="2:25" ht="17.45" customHeight="1" thickBot="1">
      <c r="B21" s="444" t="s">
        <v>101</v>
      </c>
      <c r="C21" s="441" t="s">
        <v>102</v>
      </c>
      <c r="D21" s="338">
        <f>$D$15</f>
        <v>46148</v>
      </c>
      <c r="E21" s="347">
        <f t="shared" ref="E21:O21" si="24">E19*E37</f>
        <v>0.57928849831066032</v>
      </c>
      <c r="F21" s="347">
        <f>F19*F37</f>
        <v>1.2316523918064142</v>
      </c>
      <c r="G21" s="347">
        <f t="shared" si="24"/>
        <v>1.7438423696185443</v>
      </c>
      <c r="H21" s="347">
        <f t="shared" si="24"/>
        <v>0.45586336009382622</v>
      </c>
      <c r="I21" s="347">
        <f t="shared" si="24"/>
        <v>1.5638504588558173</v>
      </c>
      <c r="J21" s="347">
        <f t="shared" si="24"/>
        <v>1.1970339204176494</v>
      </c>
      <c r="K21" s="347">
        <f t="shared" si="24"/>
        <v>0.17236100756447081</v>
      </c>
      <c r="L21" s="347">
        <f>L19*L37</f>
        <v>8.4361978318286027E-2</v>
      </c>
      <c r="M21" s="347">
        <f>M19*M37</f>
        <v>-3.4986879943413887E-2</v>
      </c>
      <c r="N21" s="347">
        <f t="shared" si="24"/>
        <v>5.1146880905031727E-3</v>
      </c>
      <c r="O21" s="347">
        <f t="shared" si="24"/>
        <v>-0.21607122921772576</v>
      </c>
      <c r="P21" s="347">
        <f t="shared" ref="P21:Q21" si="25">P19*P37</f>
        <v>-0.20800361518316374</v>
      </c>
      <c r="Q21" s="348">
        <f t="shared" si="25"/>
        <v>-0.19165231671022165</v>
      </c>
    </row>
    <row r="22" spans="2:25" ht="15" thickBot="1">
      <c r="B22" s="445"/>
      <c r="C22" s="441"/>
      <c r="D22" s="338">
        <f>$D$16</f>
        <v>46148</v>
      </c>
      <c r="E22" s="343">
        <f t="shared" ref="E22:O22" si="26">E20*E37</f>
        <v>1.0627175911455575</v>
      </c>
      <c r="F22" s="343">
        <f t="shared" si="26"/>
        <v>1.5823158211164414</v>
      </c>
      <c r="G22" s="343">
        <f>G20*G37</f>
        <v>1.6732312272167955</v>
      </c>
      <c r="H22" s="343">
        <f t="shared" si="26"/>
        <v>5.5123708779250838E-2</v>
      </c>
      <c r="I22" s="343">
        <f t="shared" si="26"/>
        <v>0.91265938510340483</v>
      </c>
      <c r="J22" s="343">
        <f t="shared" si="26"/>
        <v>0.41982394086630864</v>
      </c>
      <c r="K22" s="343">
        <f>K20*K37</f>
        <v>-0.67019799196744734</v>
      </c>
      <c r="L22" s="343">
        <f>L20*L37</f>
        <v>-0.57482790820903362</v>
      </c>
      <c r="M22" s="343">
        <f t="shared" si="26"/>
        <v>-0.40764284989434796</v>
      </c>
      <c r="N22" s="343">
        <f t="shared" si="26"/>
        <v>-0.15800299567890344</v>
      </c>
      <c r="O22" s="343">
        <f t="shared" si="26"/>
        <v>-0.19155040817475472</v>
      </c>
      <c r="P22" s="343">
        <f t="shared" ref="P22:Q22" si="27">P20*P37</f>
        <v>-9.2445208959263378E-2</v>
      </c>
      <c r="Q22" s="344">
        <f t="shared" si="27"/>
        <v>-6.812198256330998E-2</v>
      </c>
    </row>
    <row r="23" spans="2:25" ht="17.45" customHeight="1" thickBot="1">
      <c r="B23" s="444" t="s">
        <v>103</v>
      </c>
      <c r="C23" s="441" t="s">
        <v>104</v>
      </c>
      <c r="D23" s="338">
        <f>$D$15</f>
        <v>46148</v>
      </c>
      <c r="E23" s="171"/>
      <c r="F23" s="171"/>
      <c r="G23" s="171"/>
      <c r="H23" s="171"/>
      <c r="I23" s="347">
        <f>I19*I38</f>
        <v>0.3958618956000941</v>
      </c>
      <c r="J23" s="347">
        <f t="shared" ref="J23:K23" si="28">J19*J38</f>
        <v>0.26400748119487005</v>
      </c>
      <c r="K23" s="347">
        <f t="shared" si="28"/>
        <v>3.9742387709101032E-2</v>
      </c>
      <c r="L23" s="347">
        <f>L19*L38</f>
        <v>1.9262336014954272E-2</v>
      </c>
      <c r="M23" s="347">
        <f>M19*M38</f>
        <v>-7.9640786169571445E-3</v>
      </c>
      <c r="N23" s="393"/>
      <c r="O23" s="393"/>
      <c r="P23" s="393"/>
      <c r="Q23" s="394"/>
    </row>
    <row r="24" spans="2:25" ht="15" thickBot="1">
      <c r="B24" s="444"/>
      <c r="C24" s="441"/>
      <c r="D24" s="338">
        <f>$D$16</f>
        <v>46148</v>
      </c>
      <c r="E24" s="171"/>
      <c r="F24" s="171"/>
      <c r="G24" s="171"/>
      <c r="H24" s="171"/>
      <c r="I24" s="343">
        <f>I20*I38</f>
        <v>0.23102405487579922</v>
      </c>
      <c r="J24" s="343">
        <f t="shared" ref="J24:M24" si="29">J20*J38</f>
        <v>9.2592748862744753E-2</v>
      </c>
      <c r="K24" s="343">
        <f t="shared" si="29"/>
        <v>-0.15453186782206804</v>
      </c>
      <c r="L24" s="343">
        <f t="shared" si="29"/>
        <v>-0.13125022124209304</v>
      </c>
      <c r="M24" s="343">
        <f t="shared" si="29"/>
        <v>-9.2791918269070628E-2</v>
      </c>
      <c r="N24" s="393"/>
      <c r="O24" s="393"/>
      <c r="P24" s="393"/>
      <c r="Q24" s="394"/>
    </row>
    <row r="25" spans="2:25" s="10" customFormat="1" ht="15.75" customHeight="1" thickBot="1">
      <c r="B25" s="444" t="s">
        <v>105</v>
      </c>
      <c r="C25" s="441" t="s">
        <v>106</v>
      </c>
      <c r="D25" s="338">
        <f>$D$15</f>
        <v>46148</v>
      </c>
      <c r="E25" s="171"/>
      <c r="F25" s="171"/>
      <c r="G25" s="171"/>
      <c r="H25" s="171"/>
      <c r="I25" s="347">
        <f>I19*I39</f>
        <v>0.17637411190103203</v>
      </c>
      <c r="J25" s="347">
        <f t="shared" ref="J25:L25" si="30">J19*J39</f>
        <v>0.12600357057027889</v>
      </c>
      <c r="K25" s="347">
        <f t="shared" si="30"/>
        <v>1.9871193854550516E-2</v>
      </c>
      <c r="L25" s="347">
        <f t="shared" si="30"/>
        <v>1.0098335737130086E-2</v>
      </c>
      <c r="M25" s="347">
        <f>M19*M39</f>
        <v>-4.1723554868074372E-3</v>
      </c>
      <c r="N25" s="393"/>
      <c r="O25" s="393"/>
      <c r="P25" s="393"/>
      <c r="Q25" s="394"/>
    </row>
    <row r="26" spans="2:25" s="10" customFormat="1" ht="15" thickBot="1">
      <c r="B26" s="444"/>
      <c r="C26" s="441"/>
      <c r="D26" s="338">
        <f>$D$16</f>
        <v>46148</v>
      </c>
      <c r="E26" s="171"/>
      <c r="F26" s="171"/>
      <c r="G26" s="171"/>
      <c r="H26" s="171"/>
      <c r="I26" s="343">
        <f>I20*I39</f>
        <v>0.10293150959812836</v>
      </c>
      <c r="J26" s="343">
        <f t="shared" ref="J26:M26" si="31">J20*J39</f>
        <v>4.4191993775400909E-2</v>
      </c>
      <c r="K26" s="343">
        <f t="shared" si="31"/>
        <v>-7.7265933911034021E-2</v>
      </c>
      <c r="L26" s="343">
        <f t="shared" si="31"/>
        <v>-6.8808310614365778E-2</v>
      </c>
      <c r="M26" s="343">
        <f t="shared" si="31"/>
        <v>-4.8613391195938202E-2</v>
      </c>
      <c r="N26" s="393"/>
      <c r="O26" s="393"/>
      <c r="P26" s="393"/>
      <c r="Q26" s="394"/>
    </row>
    <row r="27" spans="2:25" ht="15" thickBot="1">
      <c r="B27" s="446" t="s">
        <v>107</v>
      </c>
      <c r="C27" s="441" t="s">
        <v>108</v>
      </c>
      <c r="D27" s="338">
        <f>$D$7</f>
        <v>46084</v>
      </c>
      <c r="E27" s="171">
        <f>E7/E11*100</f>
        <v>87.143999736143414</v>
      </c>
      <c r="F27" s="171">
        <f t="shared" ref="F27:J28" si="32">F7/F11*100</f>
        <v>90.274907067579363</v>
      </c>
      <c r="G27" s="171">
        <f t="shared" si="32"/>
        <v>92.419732045992873</v>
      </c>
      <c r="H27" s="171">
        <f t="shared" si="32"/>
        <v>94.304004082505628</v>
      </c>
      <c r="I27" s="171">
        <f>I7/I11*100</f>
        <v>100</v>
      </c>
      <c r="J27" s="171">
        <f t="shared" si="32"/>
        <v>115.4436971666162</v>
      </c>
      <c r="K27" s="171">
        <f>K7/K11*100</f>
        <v>126.95752593663141</v>
      </c>
      <c r="L27" s="171">
        <f t="shared" ref="L27:O27" si="33">L7/L11*100</f>
        <v>130.98206454244439</v>
      </c>
      <c r="M27" s="171">
        <f>M7/M11*100</f>
        <v>135.50739589647034</v>
      </c>
      <c r="N27" s="171">
        <f t="shared" si="33"/>
        <v>140.07165964214695</v>
      </c>
      <c r="O27" s="171">
        <f t="shared" si="33"/>
        <v>143.74277405221545</v>
      </c>
      <c r="P27" s="171">
        <f t="shared" ref="P27:Q27" si="34">P7/P11*100</f>
        <v>147.51751599768912</v>
      </c>
      <c r="Q27" s="172">
        <f t="shared" si="34"/>
        <v>151.3166334103129</v>
      </c>
    </row>
    <row r="28" spans="2:25" ht="15" thickBot="1">
      <c r="B28" s="447"/>
      <c r="C28" s="441"/>
      <c r="D28" s="338">
        <f>$D$8</f>
        <v>46084</v>
      </c>
      <c r="E28" s="171">
        <f>E8/E12*100</f>
        <v>87.143999736143414</v>
      </c>
      <c r="F28" s="171">
        <f t="shared" si="32"/>
        <v>90.274907067579363</v>
      </c>
      <c r="G28" s="171">
        <f t="shared" si="32"/>
        <v>92.419732045992873</v>
      </c>
      <c r="H28" s="171">
        <f t="shared" si="32"/>
        <v>94.304004082505628</v>
      </c>
      <c r="I28" s="171">
        <f t="shared" si="32"/>
        <v>100</v>
      </c>
      <c r="J28" s="171">
        <f t="shared" si="32"/>
        <v>115.4436971666162</v>
      </c>
      <c r="K28" s="171">
        <f>K8/K12*100</f>
        <v>126.95752593663141</v>
      </c>
      <c r="L28" s="171">
        <f t="shared" ref="L28:O28" si="35">L8/L12*100</f>
        <v>130.98206454244439</v>
      </c>
      <c r="M28" s="171">
        <f t="shared" si="35"/>
        <v>135.50739589647034</v>
      </c>
      <c r="N28" s="171">
        <f t="shared" si="35"/>
        <v>140.07165964214695</v>
      </c>
      <c r="O28" s="171">
        <f t="shared" si="35"/>
        <v>143.74277405221545</v>
      </c>
      <c r="P28" s="171">
        <f t="shared" ref="P28:Q28" si="36">P8/P12*100</f>
        <v>147.51751599768912</v>
      </c>
      <c r="Q28" s="172">
        <f t="shared" si="36"/>
        <v>151.3166334103129</v>
      </c>
    </row>
    <row r="29" spans="2:25" ht="15" thickBot="1">
      <c r="B29" s="446" t="s">
        <v>109</v>
      </c>
      <c r="C29" s="441" t="s">
        <v>110</v>
      </c>
      <c r="D29" s="338">
        <f>$D$7</f>
        <v>46084</v>
      </c>
      <c r="E29" s="171"/>
      <c r="F29" s="171">
        <f>(F27/E27-1)*100</f>
        <v>3.5927973709214411</v>
      </c>
      <c r="G29" s="171">
        <f t="shared" ref="G29:J30" si="37">(G27/F27-1)*100</f>
        <v>2.3758816797317728</v>
      </c>
      <c r="H29" s="171">
        <f t="shared" si="37"/>
        <v>2.0388200601739959</v>
      </c>
      <c r="I29" s="171">
        <f t="shared" si="37"/>
        <v>6.0400361288063698</v>
      </c>
      <c r="J29" s="171">
        <f t="shared" si="37"/>
        <v>15.4436971666162</v>
      </c>
      <c r="K29" s="171">
        <f>(K27/J27-1)*100</f>
        <v>9.9735447257875531</v>
      </c>
      <c r="L29" s="171">
        <f t="shared" ref="L29:N29" si="38">(L27/K27-1)*100</f>
        <v>3.1699882115076461</v>
      </c>
      <c r="M29" s="171">
        <f>(M27/L27-1)*100</f>
        <v>3.4549244355203568</v>
      </c>
      <c r="N29" s="171">
        <f t="shared" si="38"/>
        <v>3.368276480764032</v>
      </c>
      <c r="O29" s="171">
        <f t="shared" ref="O29:Q30" si="39">(O27/N27-1)*100</f>
        <v>2.620883067600821</v>
      </c>
      <c r="P29" s="171">
        <f t="shared" si="39"/>
        <v>2.6260394446697255</v>
      </c>
      <c r="Q29" s="172">
        <f t="shared" si="39"/>
        <v>2.5753669907804699</v>
      </c>
    </row>
    <row r="30" spans="2:25" ht="15" thickBot="1">
      <c r="B30" s="447"/>
      <c r="C30" s="441"/>
      <c r="D30" s="338">
        <f>$D$8</f>
        <v>46084</v>
      </c>
      <c r="E30" s="171"/>
      <c r="F30" s="171">
        <f>(F28/E28-1)*100</f>
        <v>3.5927973709214411</v>
      </c>
      <c r="G30" s="171">
        <f t="shared" ref="G30:H30" si="40">(G28/F28-1)*100</f>
        <v>2.3758816797317728</v>
      </c>
      <c r="H30" s="171">
        <f t="shared" si="40"/>
        <v>2.0388200601739959</v>
      </c>
      <c r="I30" s="171">
        <f t="shared" si="37"/>
        <v>6.0400361288063698</v>
      </c>
      <c r="J30" s="171">
        <f>(J28/I28-1)*100</f>
        <v>15.4436971666162</v>
      </c>
      <c r="K30" s="171">
        <f>(K28/J28-1)*100</f>
        <v>9.9735447257875531</v>
      </c>
      <c r="L30" s="171">
        <f t="shared" ref="L30:N30" si="41">(L28/K28-1)*100</f>
        <v>3.1699882115076461</v>
      </c>
      <c r="M30" s="171">
        <f t="shared" si="41"/>
        <v>3.4549244355203568</v>
      </c>
      <c r="N30" s="171">
        <f t="shared" si="41"/>
        <v>3.368276480764032</v>
      </c>
      <c r="O30" s="171">
        <f t="shared" si="39"/>
        <v>2.620883067600821</v>
      </c>
      <c r="P30" s="171">
        <f t="shared" si="39"/>
        <v>2.6260394446697255</v>
      </c>
      <c r="Q30" s="172">
        <f t="shared" si="39"/>
        <v>2.5753669907804699</v>
      </c>
    </row>
    <row r="31" spans="2:25" ht="29.25" thickBot="1">
      <c r="B31" s="79" t="s">
        <v>111</v>
      </c>
      <c r="C31" s="331" t="s">
        <v>112</v>
      </c>
      <c r="D31" s="338">
        <f>D21</f>
        <v>46148</v>
      </c>
      <c r="E31" s="170">
        <v>13169.3709</v>
      </c>
      <c r="F31" s="170">
        <v>13628.646500000001</v>
      </c>
      <c r="G31" s="170">
        <v>14122.7724</v>
      </c>
      <c r="H31" s="170">
        <v>13578.8153</v>
      </c>
      <c r="I31" s="170">
        <v>14792.2796</v>
      </c>
      <c r="J31" s="170">
        <v>16170.154</v>
      </c>
      <c r="K31" s="170">
        <v>17256.923300000002</v>
      </c>
      <c r="L31" s="358">
        <v>18022.2438</v>
      </c>
      <c r="M31" s="358">
        <v>18810.682199999999</v>
      </c>
      <c r="N31" s="349"/>
      <c r="O31" s="349"/>
      <c r="P31" s="349"/>
      <c r="Q31" s="350"/>
      <c r="S31" s="217"/>
      <c r="T31" s="218"/>
      <c r="U31" s="217"/>
      <c r="V31" s="217"/>
      <c r="W31" s="217"/>
      <c r="X31" s="217"/>
      <c r="Y31" s="217"/>
    </row>
    <row r="32" spans="2:25" ht="29.25" customHeight="1" thickBot="1">
      <c r="B32" s="79" t="s">
        <v>113</v>
      </c>
      <c r="C32" s="331" t="s">
        <v>114</v>
      </c>
      <c r="D32" s="338">
        <f>$D$31</f>
        <v>46148</v>
      </c>
      <c r="E32" s="345"/>
      <c r="F32" s="345">
        <f>(F31/E31-1)*100</f>
        <v>3.4874528440838493</v>
      </c>
      <c r="G32" s="345">
        <f t="shared" ref="G32:H32" si="42">(G31/F31-1)*100</f>
        <v>3.6256417686084896</v>
      </c>
      <c r="H32" s="345">
        <f t="shared" si="42"/>
        <v>-3.8516311429050543</v>
      </c>
      <c r="I32" s="345">
        <f>(I31/H31-1)*100</f>
        <v>8.9364519156542208</v>
      </c>
      <c r="J32" s="345">
        <f>(J31/I31-1)*100</f>
        <v>9.3148212260671492</v>
      </c>
      <c r="K32" s="345">
        <f>(K31/J31-1)*100</f>
        <v>6.720834569664591</v>
      </c>
      <c r="L32" s="345">
        <f>(L31/K31-1)*100</f>
        <v>4.4348606451765304</v>
      </c>
      <c r="M32" s="345">
        <f>(M31/L31-1)*100</f>
        <v>4.374807092555244</v>
      </c>
      <c r="N32" s="349"/>
      <c r="O32" s="349"/>
      <c r="P32" s="349"/>
      <c r="Q32" s="350"/>
    </row>
    <row r="33" spans="1:17" s="12" customFormat="1" ht="15" thickBot="1">
      <c r="B33" s="444" t="s">
        <v>115</v>
      </c>
      <c r="C33" s="441" t="s">
        <v>116</v>
      </c>
      <c r="D33" s="338">
        <f>D31</f>
        <v>46148</v>
      </c>
      <c r="E33" s="170">
        <v>152.19999999999999</v>
      </c>
      <c r="F33" s="170">
        <v>240</v>
      </c>
      <c r="G33" s="170">
        <v>202.8</v>
      </c>
      <c r="H33" s="170">
        <v>-3225.1</v>
      </c>
      <c r="I33" s="170">
        <v>-652.1</v>
      </c>
      <c r="J33" s="170">
        <v>-481.6</v>
      </c>
      <c r="K33" s="170">
        <v>-493.2</v>
      </c>
      <c r="L33" s="358">
        <v>-1012.1</v>
      </c>
      <c r="M33" s="358">
        <v>-1536.2</v>
      </c>
      <c r="N33" s="349"/>
      <c r="O33" s="349"/>
      <c r="P33" s="349"/>
      <c r="Q33" s="350"/>
    </row>
    <row r="34" spans="1:17" s="12" customFormat="1" ht="15" thickBot="1">
      <c r="B34" s="445"/>
      <c r="C34" s="441"/>
      <c r="D34" s="338">
        <f>D33</f>
        <v>46148</v>
      </c>
      <c r="E34" s="170">
        <f>E33</f>
        <v>152.19999999999999</v>
      </c>
      <c r="F34" s="170">
        <f t="shared" ref="F34:M34" si="43">F33</f>
        <v>240</v>
      </c>
      <c r="G34" s="170">
        <f t="shared" si="43"/>
        <v>202.8</v>
      </c>
      <c r="H34" s="170">
        <f t="shared" si="43"/>
        <v>-3225.1</v>
      </c>
      <c r="I34" s="170">
        <f t="shared" si="43"/>
        <v>-652.1</v>
      </c>
      <c r="J34" s="170">
        <f t="shared" si="43"/>
        <v>-481.6</v>
      </c>
      <c r="K34" s="170">
        <f t="shared" si="43"/>
        <v>-493.2</v>
      </c>
      <c r="L34" s="170">
        <f t="shared" si="43"/>
        <v>-1012.1</v>
      </c>
      <c r="M34" s="170">
        <f t="shared" si="43"/>
        <v>-1536.2</v>
      </c>
      <c r="N34" s="349"/>
      <c r="O34" s="349"/>
      <c r="P34" s="349"/>
      <c r="Q34" s="350"/>
    </row>
    <row r="35" spans="1:17" ht="15" thickBot="1">
      <c r="B35" s="446" t="s">
        <v>117</v>
      </c>
      <c r="C35" s="441" t="s">
        <v>118</v>
      </c>
      <c r="D35" s="338">
        <f>+D33</f>
        <v>46148</v>
      </c>
      <c r="E35" s="171">
        <f t="shared" ref="E35:J36" si="44">E33/E7*100</f>
        <v>0.36002706116675259</v>
      </c>
      <c r="F35" s="171">
        <f t="shared" si="44"/>
        <v>0.52233641076535342</v>
      </c>
      <c r="G35" s="171">
        <f>G33/G7*100</f>
        <v>0.41186696778176746</v>
      </c>
      <c r="H35" s="171">
        <f t="shared" si="44"/>
        <v>-6.4162452302415618</v>
      </c>
      <c r="I35" s="171">
        <f t="shared" si="44"/>
        <v>-1.1499036309869139</v>
      </c>
      <c r="J35" s="171">
        <f t="shared" si="44"/>
        <v>-0.71793694498152227</v>
      </c>
      <c r="K35" s="171">
        <f t="shared" ref="K35:M36" si="45">K33/K7*100</f>
        <v>-0.66364358087651543</v>
      </c>
      <c r="L35" s="171">
        <f t="shared" si="45"/>
        <v>-1.2812008678898479</v>
      </c>
      <c r="M35" s="171">
        <f t="shared" si="45"/>
        <v>-1.8274780754973758</v>
      </c>
      <c r="N35" s="349"/>
      <c r="O35" s="349"/>
      <c r="P35" s="349"/>
      <c r="Q35" s="350"/>
    </row>
    <row r="36" spans="1:17" ht="15" thickBot="1">
      <c r="B36" s="447"/>
      <c r="C36" s="441"/>
      <c r="D36" s="338">
        <f>D34</f>
        <v>46148</v>
      </c>
      <c r="E36" s="171">
        <f t="shared" si="44"/>
        <v>0.36002706116675259</v>
      </c>
      <c r="F36" s="171">
        <f t="shared" si="44"/>
        <v>0.52233641076535342</v>
      </c>
      <c r="G36" s="171">
        <f t="shared" si="44"/>
        <v>0.41186696778176746</v>
      </c>
      <c r="H36" s="171">
        <f t="shared" si="44"/>
        <v>-6.4162452302415618</v>
      </c>
      <c r="I36" s="171">
        <f t="shared" si="44"/>
        <v>-1.1499036309869139</v>
      </c>
      <c r="J36" s="171">
        <f t="shared" si="44"/>
        <v>-0.71793694498152227</v>
      </c>
      <c r="K36" s="171">
        <f t="shared" si="45"/>
        <v>-0.66364358087651543</v>
      </c>
      <c r="L36" s="171">
        <f t="shared" si="45"/>
        <v>-1.2812008678898479</v>
      </c>
      <c r="M36" s="171">
        <f t="shared" si="45"/>
        <v>-1.8274780754973758</v>
      </c>
      <c r="N36" s="349"/>
      <c r="O36" s="349"/>
      <c r="P36" s="349"/>
      <c r="Q36" s="350"/>
    </row>
    <row r="37" spans="1:17" ht="36.75" customHeight="1" thickBot="1">
      <c r="B37" s="79" t="s">
        <v>119</v>
      </c>
      <c r="C37" s="332" t="s">
        <v>120</v>
      </c>
      <c r="D37" s="338">
        <v>44489</v>
      </c>
      <c r="E37" s="352">
        <v>0.39900000000000002</v>
      </c>
      <c r="F37" s="352">
        <v>0.39900000000000002</v>
      </c>
      <c r="G37" s="352">
        <v>0.39900000000000002</v>
      </c>
      <c r="H37" s="352">
        <v>0.39900000000000002</v>
      </c>
      <c r="I37" s="352">
        <v>0.39900000000000002</v>
      </c>
      <c r="J37" s="352">
        <v>0.39900000000000002</v>
      </c>
      <c r="K37" s="352">
        <v>0.39900000000000002</v>
      </c>
      <c r="L37" s="352">
        <v>0.39900000000000002</v>
      </c>
      <c r="M37" s="352">
        <v>0.39900000000000002</v>
      </c>
      <c r="N37" s="352">
        <v>0.39900000000000002</v>
      </c>
      <c r="O37" s="352">
        <v>0.39900000000000002</v>
      </c>
      <c r="P37" s="352">
        <v>0.39900000000000002</v>
      </c>
      <c r="Q37" s="353">
        <v>0.39900000000000002</v>
      </c>
    </row>
    <row r="38" spans="1:17" ht="36.75" customHeight="1" thickBot="1">
      <c r="A38" s="256"/>
      <c r="B38" s="79" t="s">
        <v>121</v>
      </c>
      <c r="C38" s="332" t="s">
        <v>122</v>
      </c>
      <c r="D38" s="338">
        <f>D26</f>
        <v>46148</v>
      </c>
      <c r="E38" s="351"/>
      <c r="F38" s="351"/>
      <c r="G38" s="351"/>
      <c r="H38" s="343">
        <v>0.1045</v>
      </c>
      <c r="I38" s="343">
        <v>0.10100000000000001</v>
      </c>
      <c r="J38" s="343">
        <v>8.7999999999999995E-2</v>
      </c>
      <c r="K38" s="343">
        <v>9.1999999999999998E-2</v>
      </c>
      <c r="L38" s="343">
        <v>9.1103506854353061E-2</v>
      </c>
      <c r="M38" s="293">
        <v>9.0824542608695283E-2</v>
      </c>
      <c r="N38" s="349"/>
      <c r="O38" s="349"/>
      <c r="P38" s="349"/>
      <c r="Q38" s="350"/>
    </row>
    <row r="39" spans="1:17" ht="36.75" customHeight="1" thickBot="1">
      <c r="B39" s="82" t="s">
        <v>123</v>
      </c>
      <c r="C39" s="341" t="s">
        <v>124</v>
      </c>
      <c r="D39" s="342">
        <f>D26</f>
        <v>46148</v>
      </c>
      <c r="E39" s="354"/>
      <c r="F39" s="354"/>
      <c r="G39" s="354"/>
      <c r="H39" s="355">
        <v>4.4999999999999998E-2</v>
      </c>
      <c r="I39" s="355">
        <v>4.4999999999999998E-2</v>
      </c>
      <c r="J39" s="355">
        <v>4.2000000000000003E-2</v>
      </c>
      <c r="K39" s="355">
        <v>4.5999999999999999E-2</v>
      </c>
      <c r="L39" s="355">
        <v>4.7761278711520451E-2</v>
      </c>
      <c r="M39" s="294">
        <v>4.7582689337508435E-2</v>
      </c>
      <c r="N39" s="356"/>
      <c r="O39" s="356"/>
      <c r="P39" s="356"/>
      <c r="Q39" s="357"/>
    </row>
    <row r="40" spans="1:17" ht="15" thickTop="1">
      <c r="B40" s="14"/>
      <c r="C40" s="14"/>
      <c r="D40" s="14"/>
    </row>
    <row r="41" spans="1:17" ht="15" thickBot="1">
      <c r="C41" s="6" t="s">
        <v>61</v>
      </c>
      <c r="E41" s="443" t="s">
        <v>62</v>
      </c>
      <c r="F41" s="443"/>
      <c r="G41" s="443"/>
      <c r="H41" s="443"/>
      <c r="I41" s="443"/>
      <c r="L41" s="48"/>
    </row>
    <row r="42" spans="1:17" ht="15.75" thickTop="1" thickBot="1">
      <c r="C42" s="6" t="s">
        <v>125</v>
      </c>
      <c r="D42" s="156"/>
      <c r="E42" s="443" t="s">
        <v>126</v>
      </c>
      <c r="F42" s="443"/>
      <c r="G42" s="443"/>
      <c r="H42" s="443"/>
      <c r="I42" s="443"/>
      <c r="J42" s="11"/>
      <c r="K42" s="11"/>
    </row>
    <row r="43" spans="1:17" ht="15" thickBot="1">
      <c r="B43" s="6" t="s">
        <v>127</v>
      </c>
      <c r="C43" s="6" t="s">
        <v>128</v>
      </c>
      <c r="D43" s="155"/>
      <c r="E43" s="442" t="s">
        <v>129</v>
      </c>
      <c r="F43" s="443"/>
      <c r="G43" s="443"/>
      <c r="H43" s="443"/>
      <c r="I43" s="443"/>
      <c r="J43" s="443"/>
      <c r="K43" s="11"/>
    </row>
    <row r="44" spans="1:17" ht="15" customHeight="1" thickBot="1">
      <c r="B44" s="6"/>
      <c r="C44" s="6" t="s">
        <v>130</v>
      </c>
      <c r="D44" s="98"/>
      <c r="E44" s="448" t="s">
        <v>131</v>
      </c>
      <c r="F44" s="448"/>
      <c r="G44" s="448"/>
      <c r="H44" s="448"/>
      <c r="I44" s="448"/>
      <c r="J44" s="448"/>
      <c r="K44" s="448"/>
    </row>
    <row r="45" spans="1:17" ht="15.75" thickTop="1" thickBot="1">
      <c r="C45" s="6" t="s">
        <v>132</v>
      </c>
      <c r="E45" s="443" t="s">
        <v>133</v>
      </c>
      <c r="F45" s="443"/>
      <c r="G45" s="443"/>
      <c r="H45" s="443"/>
      <c r="I45" s="443"/>
    </row>
    <row r="46" spans="1:17" ht="16.5" thickTop="1" thickBot="1">
      <c r="C46" s="15" t="s">
        <v>134</v>
      </c>
      <c r="D46" s="87"/>
      <c r="E46" s="460" t="s">
        <v>135</v>
      </c>
      <c r="F46" s="461"/>
      <c r="G46" s="461"/>
      <c r="H46" s="461"/>
      <c r="I46" s="461"/>
      <c r="J46" s="461"/>
      <c r="K46" s="461"/>
    </row>
    <row r="47" spans="1:17" ht="15" thickTop="1">
      <c r="C47" s="16" t="s">
        <v>136</v>
      </c>
      <c r="D47" s="17">
        <v>4.9999999999999899E-2</v>
      </c>
    </row>
    <row r="50" spans="9:15">
      <c r="I50" s="18"/>
      <c r="J50" s="18"/>
    </row>
    <row r="51" spans="9:15">
      <c r="I51" s="18"/>
      <c r="J51" s="18"/>
    </row>
    <row r="52" spans="9:15">
      <c r="I52" s="18"/>
      <c r="J52" s="18"/>
      <c r="O52" s="49"/>
    </row>
    <row r="53" spans="9:15">
      <c r="I53" s="18"/>
      <c r="J53" s="18"/>
      <c r="O53" s="49"/>
    </row>
    <row r="54" spans="9:15">
      <c r="I54" s="18"/>
      <c r="J54" s="18"/>
      <c r="O54" s="49"/>
    </row>
    <row r="55" spans="9:15">
      <c r="I55" s="18"/>
      <c r="J55" s="18"/>
      <c r="O55" s="49"/>
    </row>
    <row r="56" spans="9:15">
      <c r="I56" s="18"/>
      <c r="J56" s="18"/>
      <c r="O56" s="49"/>
    </row>
    <row r="57" spans="9:15">
      <c r="I57" s="18"/>
      <c r="J57" s="18"/>
      <c r="O57" s="49"/>
    </row>
    <row r="58" spans="9:15">
      <c r="I58" s="18"/>
      <c r="J58" s="18"/>
      <c r="O58" s="49"/>
    </row>
    <row r="59" spans="9:15">
      <c r="I59" s="18"/>
      <c r="J59" s="18"/>
      <c r="O59" s="49"/>
    </row>
    <row r="60" spans="9:15">
      <c r="I60" s="18"/>
      <c r="J60" s="18"/>
      <c r="O60" s="49"/>
    </row>
    <row r="61" spans="9:15">
      <c r="I61" s="18"/>
      <c r="J61" s="18"/>
      <c r="L61" s="49"/>
    </row>
  </sheetData>
  <mergeCells count="40">
    <mergeCell ref="B3:Q3"/>
    <mergeCell ref="N4:Q4"/>
    <mergeCell ref="E4:L4"/>
    <mergeCell ref="E46:K46"/>
    <mergeCell ref="E45:I45"/>
    <mergeCell ref="B13:B14"/>
    <mergeCell ref="C13:C14"/>
    <mergeCell ref="B23:B24"/>
    <mergeCell ref="C23:C24"/>
    <mergeCell ref="B25:B26"/>
    <mergeCell ref="C25:C26"/>
    <mergeCell ref="B19:B20"/>
    <mergeCell ref="C19:C20"/>
    <mergeCell ref="B21:B22"/>
    <mergeCell ref="C21:C22"/>
    <mergeCell ref="B27:B28"/>
    <mergeCell ref="E44:K44"/>
    <mergeCell ref="E41:I41"/>
    <mergeCell ref="B4:B5"/>
    <mergeCell ref="B9:B10"/>
    <mergeCell ref="C9:C10"/>
    <mergeCell ref="D4:D5"/>
    <mergeCell ref="B7:B8"/>
    <mergeCell ref="C7:C8"/>
    <mergeCell ref="B15:B16"/>
    <mergeCell ref="C15:C16"/>
    <mergeCell ref="B17:B18"/>
    <mergeCell ref="C17:C18"/>
    <mergeCell ref="B11:B12"/>
    <mergeCell ref="C11:C12"/>
    <mergeCell ref="B35:B36"/>
    <mergeCell ref="C35:C36"/>
    <mergeCell ref="C27:C28"/>
    <mergeCell ref="C4:C5"/>
    <mergeCell ref="E43:J43"/>
    <mergeCell ref="C29:C30"/>
    <mergeCell ref="B33:B34"/>
    <mergeCell ref="C33:C34"/>
    <mergeCell ref="E42:I42"/>
    <mergeCell ref="B29:B30"/>
  </mergeCells>
  <phoneticPr fontId="64" type="noConversion"/>
  <hyperlinks>
    <hyperlink ref="B1" location="Content!A1" display="↖ atgal į turinį" xr:uid="{8E6CD68B-1742-410E-85D4-E8778B301C8F}"/>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25E2A-7248-4930-8E40-754466E749CA}">
  <sheetPr codeName="Lapas4">
    <tabColor theme="7"/>
  </sheetPr>
  <dimension ref="A1:M42"/>
  <sheetViews>
    <sheetView showGridLines="0" showRowColHeaders="0" topLeftCell="A31" zoomScaleNormal="100" workbookViewId="0">
      <selection activeCell="B33" sqref="B33"/>
    </sheetView>
  </sheetViews>
  <sheetFormatPr defaultColWidth="10" defaultRowHeight="14.25"/>
  <cols>
    <col min="1" max="1" width="4.140625" style="1" customWidth="1"/>
    <col min="2" max="2" width="69" style="1" customWidth="1"/>
    <col min="3" max="3" width="24.28515625" style="1" customWidth="1"/>
    <col min="4" max="4" width="15.85546875" style="1" customWidth="1"/>
    <col min="5" max="5" width="11.28515625" style="1" customWidth="1"/>
    <col min="6" max="8" width="11.42578125" style="1" customWidth="1"/>
    <col min="9" max="16384" width="10" style="1"/>
  </cols>
  <sheetData>
    <row r="1" spans="1:11">
      <c r="B1" s="69" t="s">
        <v>32</v>
      </c>
      <c r="C1" s="3"/>
      <c r="D1" s="3"/>
      <c r="E1" s="3"/>
      <c r="F1" s="291"/>
      <c r="G1" s="3"/>
      <c r="H1" s="3"/>
    </row>
    <row r="2" spans="1:11" ht="15" thickBot="1">
      <c r="A2" s="8"/>
    </row>
    <row r="3" spans="1:11" ht="34.15" customHeight="1" thickTop="1" thickBot="1">
      <c r="B3" s="452" t="s">
        <v>137</v>
      </c>
      <c r="C3" s="453"/>
      <c r="D3" s="153"/>
      <c r="E3" s="153"/>
      <c r="F3" s="153"/>
      <c r="G3" s="153"/>
      <c r="H3" s="154"/>
    </row>
    <row r="4" spans="1:11" ht="21.75" customHeight="1" thickBot="1">
      <c r="B4" s="449" t="s">
        <v>68</v>
      </c>
      <c r="C4" s="418" t="s">
        <v>138</v>
      </c>
      <c r="D4" s="418" t="s">
        <v>139</v>
      </c>
      <c r="E4" s="469" t="s">
        <v>37</v>
      </c>
      <c r="F4" s="469"/>
      <c r="G4" s="463" t="s">
        <v>38</v>
      </c>
      <c r="H4" s="464"/>
    </row>
    <row r="5" spans="1:11" ht="15" thickBot="1">
      <c r="B5" s="468"/>
      <c r="C5" s="418"/>
      <c r="D5" s="418"/>
      <c r="E5" s="77">
        <v>2024</v>
      </c>
      <c r="F5" s="77">
        <v>2025</v>
      </c>
      <c r="G5" s="99">
        <f>E5</f>
        <v>2024</v>
      </c>
      <c r="H5" s="100">
        <f>F5</f>
        <v>2025</v>
      </c>
    </row>
    <row r="6" spans="1:11" ht="29.25" thickBot="1">
      <c r="B6" s="79" t="s">
        <v>140</v>
      </c>
      <c r="C6" s="74"/>
      <c r="D6" s="72" t="s">
        <v>141</v>
      </c>
      <c r="E6" s="75">
        <f>'2. Macro'!L8</f>
        <v>78996.2</v>
      </c>
      <c r="F6" s="75">
        <f>'2. Macro'!M8</f>
        <v>84061.2</v>
      </c>
      <c r="G6" s="75">
        <f>'2. Macro'!L7</f>
        <v>78996.2</v>
      </c>
      <c r="H6" s="80">
        <f>'2. Macro'!M7</f>
        <v>84061.2</v>
      </c>
    </row>
    <row r="7" spans="1:11" s="10" customFormat="1" ht="15" thickBot="1">
      <c r="B7" s="444" t="s">
        <v>142</v>
      </c>
      <c r="C7" s="465" t="s">
        <v>143</v>
      </c>
      <c r="D7" s="73" t="s">
        <v>141</v>
      </c>
      <c r="E7" s="75">
        <f>E13-E15</f>
        <v>-1012.2000000000007</v>
      </c>
      <c r="F7" s="75">
        <f>F13-F15</f>
        <v>-1536.3000000000029</v>
      </c>
      <c r="G7" s="75">
        <f>G13-G15</f>
        <v>-1012.2000000000007</v>
      </c>
      <c r="H7" s="80">
        <f>H13-H15</f>
        <v>-1536.3000000000029</v>
      </c>
      <c r="J7" s="51"/>
      <c r="K7" s="51"/>
    </row>
    <row r="8" spans="1:11" s="10" customFormat="1" ht="15" thickBot="1">
      <c r="B8" s="444"/>
      <c r="C8" s="465"/>
      <c r="D8" s="73" t="s">
        <v>144</v>
      </c>
      <c r="E8" s="75">
        <f>E7/$E$6*100</f>
        <v>-1.2813274562573906</v>
      </c>
      <c r="F8" s="75">
        <f>F7/$F$6*100</f>
        <v>-1.8275970364448793</v>
      </c>
      <c r="G8" s="75">
        <f>G7/G6*100</f>
        <v>-1.2813274562573906</v>
      </c>
      <c r="H8" s="75">
        <f>H7/H6*100</f>
        <v>-1.8275970364448793</v>
      </c>
    </row>
    <row r="9" spans="1:11" s="10" customFormat="1" ht="15" thickBot="1">
      <c r="B9" s="466" t="s">
        <v>145</v>
      </c>
      <c r="C9" s="465" t="s">
        <v>146</v>
      </c>
      <c r="D9" s="73" t="s">
        <v>141</v>
      </c>
      <c r="E9" s="152">
        <v>977.13189657999465</v>
      </c>
      <c r="F9" s="152">
        <v>960.44001444999867</v>
      </c>
      <c r="G9" s="265">
        <v>977.13189657999465</v>
      </c>
      <c r="H9" s="266">
        <v>960.44001444999867</v>
      </c>
    </row>
    <row r="10" spans="1:11" s="10" customFormat="1" ht="15" thickBot="1">
      <c r="B10" s="466"/>
      <c r="C10" s="465"/>
      <c r="D10" s="73" t="s">
        <v>144</v>
      </c>
      <c r="E10" s="75">
        <f>E9/$E$6*100</f>
        <v>1.2369353166101593</v>
      </c>
      <c r="F10" s="75">
        <f>F9/$F$6*100</f>
        <v>1.1425485413603407</v>
      </c>
      <c r="G10" s="75">
        <f>G9/$G$6*100</f>
        <v>1.2369353166101593</v>
      </c>
      <c r="H10" s="80">
        <f>H9/$H$6*100</f>
        <v>1.1425485413603407</v>
      </c>
      <c r="I10" s="19"/>
    </row>
    <row r="11" spans="1:11" s="10" customFormat="1" ht="15" thickBot="1">
      <c r="B11" s="466" t="s">
        <v>147</v>
      </c>
      <c r="C11" s="465" t="s">
        <v>148</v>
      </c>
      <c r="D11" s="73" t="s">
        <v>141</v>
      </c>
      <c r="E11" s="152">
        <v>-38.627800000000207</v>
      </c>
      <c r="F11" s="152">
        <v>-95.69609279999986</v>
      </c>
      <c r="G11" s="265">
        <f>E11</f>
        <v>-38.627800000000207</v>
      </c>
      <c r="H11" s="266">
        <f>F11</f>
        <v>-95.69609279999986</v>
      </c>
      <c r="I11" s="19"/>
    </row>
    <row r="12" spans="1:11" s="10" customFormat="1" ht="15" thickBot="1">
      <c r="B12" s="466"/>
      <c r="C12" s="465"/>
      <c r="D12" s="73" t="s">
        <v>144</v>
      </c>
      <c r="E12" s="75">
        <f>E11/E6*100</f>
        <v>-4.8898301437284589E-2</v>
      </c>
      <c r="F12" s="75">
        <f>F11/F6*100</f>
        <v>-0.11384097871550711</v>
      </c>
      <c r="G12" s="75">
        <f>G11/G6*100</f>
        <v>-4.8898301437284589E-2</v>
      </c>
      <c r="H12" s="80">
        <f>H11/H6*100</f>
        <v>-0.11384097871550711</v>
      </c>
    </row>
    <row r="13" spans="1:11" s="10" customFormat="1" ht="15" thickBot="1">
      <c r="B13" s="444" t="s">
        <v>149</v>
      </c>
      <c r="C13" s="441" t="s">
        <v>150</v>
      </c>
      <c r="D13" s="73" t="s">
        <v>141</v>
      </c>
      <c r="E13" s="152">
        <v>30124.7</v>
      </c>
      <c r="F13" s="152">
        <v>33202.199999999997</v>
      </c>
      <c r="G13" s="265">
        <f>E13</f>
        <v>30124.7</v>
      </c>
      <c r="H13" s="265">
        <f>F13</f>
        <v>33202.199999999997</v>
      </c>
    </row>
    <row r="14" spans="1:11" s="10" customFormat="1" ht="15" thickBot="1">
      <c r="B14" s="445"/>
      <c r="C14" s="441"/>
      <c r="D14" s="73" t="s">
        <v>144</v>
      </c>
      <c r="E14" s="75">
        <f>E13/$E$6*100</f>
        <v>38.134365956843496</v>
      </c>
      <c r="F14" s="75">
        <f>F13/$F$6*100</f>
        <v>39.497651710896342</v>
      </c>
      <c r="G14" s="75">
        <f>G13/$G$6*100</f>
        <v>38.134365956843496</v>
      </c>
      <c r="H14" s="80">
        <f>H13/$H$6*100</f>
        <v>39.497651710896342</v>
      </c>
    </row>
    <row r="15" spans="1:11" s="10" customFormat="1" ht="15" thickBot="1">
      <c r="B15" s="444" t="s">
        <v>151</v>
      </c>
      <c r="C15" s="441" t="s">
        <v>152</v>
      </c>
      <c r="D15" s="73" t="s">
        <v>141</v>
      </c>
      <c r="E15" s="152">
        <v>31136.9</v>
      </c>
      <c r="F15" s="152">
        <v>34738.5</v>
      </c>
      <c r="G15" s="265">
        <f>E15</f>
        <v>31136.9</v>
      </c>
      <c r="H15" s="265">
        <f>F15</f>
        <v>34738.5</v>
      </c>
      <c r="I15" s="51"/>
    </row>
    <row r="16" spans="1:11" s="10" customFormat="1" ht="15" thickBot="1">
      <c r="B16" s="445"/>
      <c r="C16" s="441"/>
      <c r="D16" s="73" t="s">
        <v>144</v>
      </c>
      <c r="E16" s="75">
        <f>E15/E6*100</f>
        <v>39.41569341310089</v>
      </c>
      <c r="F16" s="75">
        <f>F15/F6*100</f>
        <v>41.325248747341227</v>
      </c>
      <c r="G16" s="75">
        <f>G15/$G$6*100</f>
        <v>39.41569341310089</v>
      </c>
      <c r="H16" s="80">
        <f>H15/$H$6*100</f>
        <v>41.325248747341227</v>
      </c>
    </row>
    <row r="17" spans="2:11" s="10" customFormat="1" ht="15" thickBot="1">
      <c r="B17" s="466" t="s">
        <v>153</v>
      </c>
      <c r="C17" s="441" t="s">
        <v>154</v>
      </c>
      <c r="D17" s="73" t="s">
        <v>141</v>
      </c>
      <c r="E17" s="267">
        <v>15078.6</v>
      </c>
      <c r="F17" s="268">
        <v>18474.099999999999</v>
      </c>
      <c r="G17" s="267">
        <f>E17</f>
        <v>15078.6</v>
      </c>
      <c r="H17" s="269">
        <f>F17</f>
        <v>18474.099999999999</v>
      </c>
    </row>
    <row r="18" spans="2:11" s="10" customFormat="1" ht="15" thickBot="1">
      <c r="B18" s="466"/>
      <c r="C18" s="441"/>
      <c r="D18" s="73" t="s">
        <v>144</v>
      </c>
      <c r="E18" s="75">
        <f>E17/$E$6*100</f>
        <v>19.08775358814728</v>
      </c>
      <c r="F18" s="75">
        <f>F17/F6*100</f>
        <v>21.976964402126072</v>
      </c>
      <c r="G18" s="75">
        <f>G17/G6*100</f>
        <v>19.08775358814728</v>
      </c>
      <c r="H18" s="80">
        <f>H17/H6*100</f>
        <v>21.976964402126072</v>
      </c>
    </row>
    <row r="19" spans="2:11" s="10" customFormat="1" ht="15" thickBot="1">
      <c r="B19" s="466" t="s">
        <v>155</v>
      </c>
      <c r="C19" s="441" t="s">
        <v>156</v>
      </c>
      <c r="D19" s="73" t="s">
        <v>141</v>
      </c>
      <c r="E19" s="267">
        <v>10759</v>
      </c>
      <c r="F19" s="268">
        <v>12020.2</v>
      </c>
      <c r="G19" s="267">
        <f>E19</f>
        <v>10759</v>
      </c>
      <c r="H19" s="269">
        <f>F19</f>
        <v>12020.2</v>
      </c>
    </row>
    <row r="20" spans="2:11" s="10" customFormat="1" ht="15" thickBot="1">
      <c r="B20" s="467"/>
      <c r="C20" s="441"/>
      <c r="D20" s="73" t="s">
        <v>144</v>
      </c>
      <c r="E20" s="75">
        <f t="shared" ref="E20" si="0">E19/E6*100</f>
        <v>13.619642463814715</v>
      </c>
      <c r="F20" s="75">
        <f>F19/F6*100</f>
        <v>14.299343811413589</v>
      </c>
      <c r="G20" s="75">
        <f>G19/G6*100</f>
        <v>13.619642463814715</v>
      </c>
      <c r="H20" s="80">
        <f>H19/H6*100</f>
        <v>14.299343811413589</v>
      </c>
      <c r="J20" s="1"/>
      <c r="K20" s="1"/>
    </row>
    <row r="21" spans="2:11" s="10" customFormat="1" ht="15" thickBot="1">
      <c r="B21" s="444" t="s">
        <v>157</v>
      </c>
      <c r="C21" s="465" t="s">
        <v>158</v>
      </c>
      <c r="D21" s="73" t="s">
        <v>141</v>
      </c>
      <c r="E21" s="75">
        <f>E19+E17</f>
        <v>25837.599999999999</v>
      </c>
      <c r="F21" s="75">
        <f>F19+F17</f>
        <v>30494.3</v>
      </c>
      <c r="G21" s="75">
        <f>G19+G17</f>
        <v>25837.599999999999</v>
      </c>
      <c r="H21" s="80">
        <f>H17+H19</f>
        <v>30494.3</v>
      </c>
      <c r="J21" s="1"/>
      <c r="K21" s="1"/>
    </row>
    <row r="22" spans="2:11" s="10" customFormat="1" ht="16.5" customHeight="1" thickBot="1">
      <c r="B22" s="444"/>
      <c r="C22" s="465"/>
      <c r="D22" s="73" t="s">
        <v>144</v>
      </c>
      <c r="E22" s="75">
        <f>E21/E6*100</f>
        <v>32.707396051961993</v>
      </c>
      <c r="F22" s="75">
        <f>F21/F6*100</f>
        <v>36.276308213539657</v>
      </c>
      <c r="G22" s="75">
        <f>G21/$G$6*100</f>
        <v>32.707396051961993</v>
      </c>
      <c r="H22" s="80">
        <f>H21/$H$6*100</f>
        <v>36.276308213539657</v>
      </c>
      <c r="J22" s="1"/>
      <c r="K22" s="1"/>
    </row>
    <row r="23" spans="2:11" s="10" customFormat="1" ht="15" thickBot="1">
      <c r="B23" s="444" t="s">
        <v>159</v>
      </c>
      <c r="C23" s="441" t="s">
        <v>160</v>
      </c>
      <c r="D23" s="73" t="s">
        <v>141</v>
      </c>
      <c r="E23" s="150">
        <v>2.2000000000000002</v>
      </c>
      <c r="F23" s="150">
        <v>96.606999999999999</v>
      </c>
      <c r="G23" s="150">
        <f>E23</f>
        <v>2.2000000000000002</v>
      </c>
      <c r="H23" s="151">
        <f>F23</f>
        <v>96.606999999999999</v>
      </c>
      <c r="J23" s="1"/>
      <c r="K23" s="1"/>
    </row>
    <row r="24" spans="2:11" ht="15" thickBot="1">
      <c r="B24" s="445"/>
      <c r="C24" s="441"/>
      <c r="D24" s="73" t="s">
        <v>144</v>
      </c>
      <c r="E24" s="75">
        <f>E23/E6*100</f>
        <v>2.7849440859180571E-3</v>
      </c>
      <c r="F24" s="75">
        <f>F23/F6*100</f>
        <v>0.11492460255147439</v>
      </c>
      <c r="G24" s="75">
        <f>G23/G6*100</f>
        <v>2.7849440859180571E-3</v>
      </c>
      <c r="H24" s="80">
        <f>H23/H6*100</f>
        <v>0.11492460255147439</v>
      </c>
    </row>
    <row r="25" spans="2:11" ht="15" thickBot="1">
      <c r="B25" s="444" t="s">
        <v>161</v>
      </c>
      <c r="C25" s="441" t="s">
        <v>162</v>
      </c>
      <c r="D25" s="73" t="s">
        <v>141</v>
      </c>
      <c r="E25" s="150">
        <v>0</v>
      </c>
      <c r="F25" s="150">
        <v>0</v>
      </c>
      <c r="G25" s="150">
        <v>0</v>
      </c>
      <c r="H25" s="151">
        <v>0</v>
      </c>
    </row>
    <row r="26" spans="2:11" ht="15" thickBot="1">
      <c r="B26" s="445"/>
      <c r="C26" s="441"/>
      <c r="D26" s="73" t="s">
        <v>144</v>
      </c>
      <c r="E26" s="75">
        <f>E25/$E$6*100</f>
        <v>0</v>
      </c>
      <c r="F26" s="75">
        <f>F25/$F$6*100</f>
        <v>0</v>
      </c>
      <c r="G26" s="75">
        <f>G25/$G$6*100</f>
        <v>0</v>
      </c>
      <c r="H26" s="80">
        <f>H25/$H$6*100</f>
        <v>0</v>
      </c>
    </row>
    <row r="27" spans="2:11" ht="15" thickBot="1">
      <c r="B27" s="444" t="s">
        <v>163</v>
      </c>
      <c r="C27" s="441" t="s">
        <v>164</v>
      </c>
      <c r="D27" s="73" t="s">
        <v>141</v>
      </c>
      <c r="E27" s="150">
        <v>0</v>
      </c>
      <c r="F27" s="150">
        <v>0</v>
      </c>
      <c r="G27" s="150">
        <v>0</v>
      </c>
      <c r="H27" s="151">
        <v>0</v>
      </c>
    </row>
    <row r="28" spans="2:11" ht="15" thickBot="1">
      <c r="B28" s="445"/>
      <c r="C28" s="441"/>
      <c r="D28" s="73" t="s">
        <v>144</v>
      </c>
      <c r="E28" s="75">
        <f>E27/$E$6*100</f>
        <v>0</v>
      </c>
      <c r="F28" s="75">
        <f>F27/$F$6*100</f>
        <v>0</v>
      </c>
      <c r="G28" s="75">
        <f>G27/$G$6*100</f>
        <v>0</v>
      </c>
      <c r="H28" s="80">
        <f>H27/$H$6*100</f>
        <v>0</v>
      </c>
    </row>
    <row r="29" spans="2:11" ht="29.25" thickBot="1">
      <c r="B29" s="81" t="s">
        <v>165</v>
      </c>
      <c r="C29" s="73" t="s">
        <v>166</v>
      </c>
      <c r="D29" s="73" t="s">
        <v>144</v>
      </c>
      <c r="E29" s="173">
        <v>0</v>
      </c>
      <c r="F29" s="173">
        <v>0</v>
      </c>
      <c r="G29" s="173">
        <f>E29</f>
        <v>0</v>
      </c>
      <c r="H29" s="174">
        <f>F29</f>
        <v>0</v>
      </c>
    </row>
    <row r="30" spans="2:11" ht="33" customHeight="1" thickBot="1">
      <c r="B30" s="81" t="s">
        <v>167</v>
      </c>
      <c r="C30" s="73" t="s">
        <v>168</v>
      </c>
      <c r="D30" s="73" t="s">
        <v>144</v>
      </c>
      <c r="E30" s="150">
        <f>E8-'2. Macro'!L22-E24+E29</f>
        <v>-0.70928449213427502</v>
      </c>
      <c r="F30" s="150">
        <f>F8-'2. Macro'!M22-F24+F29</f>
        <v>-1.5348787891020055</v>
      </c>
      <c r="G30" s="101">
        <f>G8-'2. Macro'!L21-G24+G29</f>
        <v>-1.3684743786615947</v>
      </c>
      <c r="H30" s="102">
        <f>H8-'2. Macro'!M21-H24+H29</f>
        <v>-1.9075347590529397</v>
      </c>
    </row>
    <row r="31" spans="2:11" ht="29.25" thickBot="1">
      <c r="B31" s="81" t="s">
        <v>169</v>
      </c>
      <c r="C31" s="73" t="s">
        <v>170</v>
      </c>
      <c r="D31" s="73" t="s">
        <v>144</v>
      </c>
      <c r="E31" s="171">
        <f>E10-'2. Macro'!K24-E26</f>
        <v>1.3914671844322273</v>
      </c>
      <c r="F31" s="171">
        <f>F10-'2. Macro'!L24-F26</f>
        <v>1.2737987626024336</v>
      </c>
      <c r="G31" s="171">
        <f>G10-'2. Macro'!L23-G26</f>
        <v>1.2176729805952051</v>
      </c>
      <c r="H31" s="172">
        <f>H10-'2. Macro'!L23-H26</f>
        <v>1.1232862053453865</v>
      </c>
    </row>
    <row r="32" spans="2:11" ht="29.25" thickBot="1">
      <c r="B32" s="81" t="s">
        <v>171</v>
      </c>
      <c r="C32" s="73" t="s">
        <v>172</v>
      </c>
      <c r="D32" s="73" t="s">
        <v>144</v>
      </c>
      <c r="E32" s="171">
        <f>E12-'2. Macro'!L26-E28</f>
        <v>1.9910009177081189E-2</v>
      </c>
      <c r="F32" s="171">
        <f>F12-'2. Macro'!M26-F28</f>
        <v>-6.5227587519568905E-2</v>
      </c>
      <c r="G32" s="173">
        <f>G12-'2. Macro'!L25-G28</f>
        <v>-5.8996637174414675E-2</v>
      </c>
      <c r="H32" s="174">
        <f>H12-'2. Macro'!M25-H28</f>
        <v>-0.10966862322869966</v>
      </c>
    </row>
    <row r="33" spans="2:13" ht="29.25" thickBot="1">
      <c r="B33" s="81" t="s">
        <v>173</v>
      </c>
      <c r="C33" s="76" t="s">
        <v>174</v>
      </c>
      <c r="D33" s="73" t="s">
        <v>144</v>
      </c>
      <c r="E33" s="188">
        <v>-1</v>
      </c>
      <c r="F33" s="188">
        <v>-1</v>
      </c>
      <c r="G33" s="188">
        <v>-1</v>
      </c>
      <c r="H33" s="189">
        <v>-1</v>
      </c>
    </row>
    <row r="34" spans="2:13" ht="29.25" thickBot="1">
      <c r="B34" s="82" t="s">
        <v>175</v>
      </c>
      <c r="C34" s="83" t="s">
        <v>176</v>
      </c>
      <c r="D34" s="84" t="s">
        <v>144</v>
      </c>
      <c r="E34" s="83">
        <v>0</v>
      </c>
      <c r="F34" s="83">
        <v>0</v>
      </c>
      <c r="G34" s="83">
        <v>0</v>
      </c>
      <c r="H34" s="85">
        <v>0</v>
      </c>
      <c r="J34" s="53"/>
      <c r="K34" s="53"/>
    </row>
    <row r="35" spans="2:13" ht="15" thickTop="1">
      <c r="C35" s="20"/>
      <c r="D35" s="20"/>
      <c r="E35" s="20"/>
      <c r="F35" s="20"/>
      <c r="G35" s="20"/>
      <c r="H35" s="20"/>
    </row>
    <row r="36" spans="2:13" ht="15" thickBot="1">
      <c r="C36" s="6" t="s">
        <v>61</v>
      </c>
      <c r="D36" s="6"/>
      <c r="E36" s="42" t="s">
        <v>62</v>
      </c>
    </row>
    <row r="37" spans="2:13" ht="16.5" thickTop="1" thickBot="1">
      <c r="B37" s="21"/>
      <c r="C37" s="22" t="s">
        <v>177</v>
      </c>
      <c r="D37" s="88"/>
      <c r="E37" s="70" t="s">
        <v>178</v>
      </c>
      <c r="F37" s="11"/>
      <c r="G37" s="11"/>
    </row>
    <row r="38" spans="2:13" ht="15" customHeight="1" thickBot="1">
      <c r="B38" s="23"/>
      <c r="C38" s="6" t="s">
        <v>130</v>
      </c>
      <c r="D38" s="98"/>
      <c r="E38" s="470" t="s">
        <v>131</v>
      </c>
      <c r="F38" s="448"/>
      <c r="G38" s="448"/>
      <c r="H38" s="448"/>
      <c r="I38" s="448"/>
      <c r="J38" s="448"/>
      <c r="K38" s="448"/>
      <c r="L38" s="448"/>
      <c r="M38" s="53"/>
    </row>
    <row r="39" spans="2:13" ht="15.75" thickTop="1" thickBot="1">
      <c r="C39" s="6"/>
      <c r="E39" s="37"/>
    </row>
    <row r="40" spans="2:13" ht="16.5" thickTop="1" thickBot="1">
      <c r="C40" s="15" t="s">
        <v>134</v>
      </c>
      <c r="D40" s="87"/>
      <c r="E40" s="71" t="s">
        <v>135</v>
      </c>
      <c r="F40" s="34"/>
      <c r="G40" s="34"/>
    </row>
    <row r="41" spans="2:13" ht="14.45" customHeight="1" thickTop="1">
      <c r="C41" s="462"/>
      <c r="D41" s="462"/>
      <c r="E41" s="11"/>
      <c r="F41" s="11"/>
      <c r="G41" s="11"/>
      <c r="H41" s="11"/>
    </row>
    <row r="42" spans="2:13">
      <c r="C42" s="462"/>
      <c r="D42" s="462"/>
      <c r="E42" s="11"/>
      <c r="F42" s="11"/>
      <c r="G42" s="11"/>
      <c r="H42" s="11"/>
    </row>
  </sheetData>
  <mergeCells count="31">
    <mergeCell ref="E38:L38"/>
    <mergeCell ref="B27:B28"/>
    <mergeCell ref="B15:B16"/>
    <mergeCell ref="C15:C16"/>
    <mergeCell ref="B23:B24"/>
    <mergeCell ref="C23:C24"/>
    <mergeCell ref="B25:B26"/>
    <mergeCell ref="C25:C26"/>
    <mergeCell ref="B21:B22"/>
    <mergeCell ref="C21:C22"/>
    <mergeCell ref="B3:C3"/>
    <mergeCell ref="B4:B5"/>
    <mergeCell ref="C4:C5"/>
    <mergeCell ref="D4:D5"/>
    <mergeCell ref="E4:F4"/>
    <mergeCell ref="C42:D42"/>
    <mergeCell ref="C41:D41"/>
    <mergeCell ref="G4:H4"/>
    <mergeCell ref="B7:B8"/>
    <mergeCell ref="C7:C8"/>
    <mergeCell ref="B13:B14"/>
    <mergeCell ref="C13:C14"/>
    <mergeCell ref="B11:B12"/>
    <mergeCell ref="C11:C12"/>
    <mergeCell ref="B9:B10"/>
    <mergeCell ref="C9:C10"/>
    <mergeCell ref="B19:B20"/>
    <mergeCell ref="C19:C20"/>
    <mergeCell ref="B17:B18"/>
    <mergeCell ref="C17:C18"/>
    <mergeCell ref="C27:C28"/>
  </mergeCells>
  <hyperlinks>
    <hyperlink ref="B1" location="Content!A1" display="↖ atgal į turinį" xr:uid="{8D49A034-0168-4894-B604-40CFF3F7B0DE}"/>
  </hyperlink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5AF26-555D-4185-9071-ED9B1F6A1AFC}">
  <sheetPr codeName="Lapas5">
    <tabColor theme="7"/>
  </sheetPr>
  <dimension ref="A1:L45"/>
  <sheetViews>
    <sheetView showGridLines="0" topLeftCell="A23" zoomScale="80" zoomScaleNormal="80" workbookViewId="0">
      <selection activeCell="E44" sqref="E44"/>
    </sheetView>
  </sheetViews>
  <sheetFormatPr defaultColWidth="10" defaultRowHeight="14.25"/>
  <cols>
    <col min="1" max="1" width="3.7109375" style="1" customWidth="1"/>
    <col min="2" max="2" width="5.28515625" style="1" customWidth="1"/>
    <col min="3" max="3" width="62.5703125" style="1" customWidth="1"/>
    <col min="4" max="4" width="23.28515625" style="1" customWidth="1"/>
    <col min="5" max="6" width="18.85546875" style="1" customWidth="1"/>
    <col min="7" max="16384" width="10" style="1"/>
  </cols>
  <sheetData>
    <row r="1" spans="1:12">
      <c r="A1" s="190"/>
      <c r="B1" s="498" t="s">
        <v>32</v>
      </c>
      <c r="C1" s="498"/>
      <c r="D1" s="190"/>
      <c r="E1" s="20"/>
      <c r="F1" s="20"/>
    </row>
    <row r="2" spans="1:12" ht="15" thickBot="1">
      <c r="A2" s="191" t="s">
        <v>33</v>
      </c>
      <c r="B2" s="20"/>
      <c r="C2" s="20"/>
      <c r="D2" s="20"/>
      <c r="E2" s="20"/>
      <c r="F2" s="20"/>
    </row>
    <row r="3" spans="1:12" ht="34.5" customHeight="1" thickTop="1" thickBot="1">
      <c r="A3" s="181"/>
      <c r="B3" s="499" t="s">
        <v>179</v>
      </c>
      <c r="C3" s="500"/>
      <c r="D3" s="500"/>
      <c r="E3" s="500"/>
      <c r="F3" s="501"/>
    </row>
    <row r="4" spans="1:12" ht="41.25" customHeight="1" thickBot="1">
      <c r="A4" s="20"/>
      <c r="B4" s="145" t="s">
        <v>180</v>
      </c>
      <c r="C4" s="89" t="s">
        <v>181</v>
      </c>
      <c r="D4" s="89" t="s">
        <v>182</v>
      </c>
      <c r="E4" s="502" t="s">
        <v>183</v>
      </c>
      <c r="F4" s="503"/>
      <c r="J4" s="40"/>
      <c r="K4" s="40"/>
      <c r="L4" s="40"/>
    </row>
    <row r="5" spans="1:12" ht="33" customHeight="1" thickBot="1">
      <c r="A5" s="20"/>
      <c r="B5" s="504" t="s">
        <v>184</v>
      </c>
      <c r="C5" s="505"/>
      <c r="D5" s="505"/>
      <c r="E5" s="144" t="s">
        <v>37</v>
      </c>
      <c r="F5" s="103" t="s">
        <v>38</v>
      </c>
      <c r="J5" s="40"/>
      <c r="K5" s="40"/>
      <c r="L5" s="40"/>
    </row>
    <row r="6" spans="1:12" ht="14.25" customHeight="1">
      <c r="A6" s="20"/>
      <c r="B6" s="506"/>
      <c r="C6" s="186" t="s">
        <v>185</v>
      </c>
      <c r="D6" s="492"/>
      <c r="E6" s="476" t="str">
        <f>"Ne"</f>
        <v>Ne</v>
      </c>
      <c r="F6" s="477"/>
    </row>
    <row r="7" spans="1:12" ht="14.25" customHeight="1" thickBot="1">
      <c r="A7" s="20"/>
      <c r="B7" s="507"/>
      <c r="C7" s="187" t="s">
        <v>40</v>
      </c>
      <c r="D7" s="493"/>
      <c r="E7" s="490" t="str">
        <f>"No"</f>
        <v>No</v>
      </c>
      <c r="F7" s="491"/>
    </row>
    <row r="8" spans="1:12" ht="18" customHeight="1">
      <c r="A8" s="20"/>
      <c r="B8" s="495" t="s">
        <v>186</v>
      </c>
      <c r="C8" s="485" t="s">
        <v>187</v>
      </c>
      <c r="D8" s="487" t="s">
        <v>188</v>
      </c>
      <c r="E8" s="91" t="str">
        <f>IF(E28&gt;eps,"Tiesa","Netiesa")</f>
        <v>Netiesa</v>
      </c>
      <c r="F8" s="104" t="str">
        <f>IF(F28&gt;eps,"Tiesa","Netiesa")</f>
        <v>Netiesa</v>
      </c>
    </row>
    <row r="9" spans="1:12" ht="15.75" customHeight="1">
      <c r="A9" s="20"/>
      <c r="B9" s="496"/>
      <c r="C9" s="486"/>
      <c r="D9" s="488"/>
      <c r="E9" s="133" t="str">
        <f>CONCATENATE(FIXED(E28,1),IF(E28="Tiesa"," ≥ "," &lt; "),FIXED(0,1))</f>
        <v>-1,5 &lt; 0,0</v>
      </c>
      <c r="F9" s="175" t="str">
        <f>CONCATENATE(FIXED(F28,1),IF(F28="Tiesa"," ≥ "," &lt; "),FIXED(0,1))</f>
        <v>-1,9 &lt; 0,0</v>
      </c>
      <c r="H9" s="24"/>
    </row>
    <row r="10" spans="1:12" ht="15" thickBot="1">
      <c r="A10" s="20"/>
      <c r="B10" s="497"/>
      <c r="C10" s="176" t="s">
        <v>189</v>
      </c>
      <c r="D10" s="489"/>
      <c r="E10" s="138" t="str">
        <f>IF(E8="Tiesa","True","False")</f>
        <v>False</v>
      </c>
      <c r="F10" s="105" t="str">
        <f>IF(F8="Tiesa","True","False")</f>
        <v>False</v>
      </c>
      <c r="H10" s="24"/>
    </row>
    <row r="11" spans="1:12" ht="36" customHeight="1">
      <c r="A11" s="20"/>
      <c r="B11" s="495" t="s">
        <v>190</v>
      </c>
      <c r="C11" s="485" t="s">
        <v>191</v>
      </c>
      <c r="D11" s="487" t="s">
        <v>192</v>
      </c>
      <c r="E11" s="91" t="str">
        <f>IF((ABS(E28)+eps&lt;ABS($E$30))*(ABS(E28)&lt;ABS(E29))*(E31&gt;=-eps),"Tiesa","Netiesa")</f>
        <v>Netiesa</v>
      </c>
      <c r="F11" s="104" t="str">
        <f>IF((ABS(F28)+eps&lt;ABS($E$30))*(ABS(F28)&lt;ABS(F29))*(F31&gt;=-eps),"Tiesa","Netiesa")</f>
        <v>Netiesa</v>
      </c>
      <c r="I11" s="12"/>
    </row>
    <row r="12" spans="1:12" ht="43.5" customHeight="1">
      <c r="A12" s="20"/>
      <c r="B12" s="496"/>
      <c r="C12" s="486"/>
      <c r="D12" s="488"/>
      <c r="E12" s="93" t="str">
        <f>CONCATENATE(FIXED(ABS(E28),1),IF(ABS(E28)+eps&lt;ABS($E$30)," &lt; "," ≥ "),FIXED(ABS($E$30),1)," &amp;
",FIXED(ABS(E28),1),IF(ABS(E28)&lt;ABS(E29)," &lt; "," ≥ "),FIXED(ABS(E29),1)," &amp;
",FIXED(E31,1),IF(E31&lt;-eps," &lt; "," ≥ "),FIXED(0,1))</f>
        <v>1,5 ≥ 1,0 &amp;
1,5 ≥ 0,7 &amp;
-1,0 &lt; 0,0</v>
      </c>
      <c r="F12" s="177" t="str">
        <f>CONCATENATE(FIXED(ABS(F28),1),IF(ABS(F28)+eps&lt;ABS($E$30)," &lt; "," ≥ "),FIXED(ABS($E$30),1)," &amp;
",FIXED(ABS(F28),1),IF(ABS(F28)&lt;ABS(F29)," &lt; "," ≥ "),FIXED(ABS(F29),1)," &amp;
",FIXED(F31,1),IF(F31&lt;-eps," &lt; "," ≥ "),FIXED(0,1))</f>
        <v>1,9 ≥ 1,0 &amp;
1,9 ≥ 1,4 &amp;
-0,1 &lt; 0,0</v>
      </c>
      <c r="G12" s="25"/>
      <c r="H12" s="26"/>
      <c r="I12" s="12"/>
      <c r="J12" s="12"/>
    </row>
    <row r="13" spans="1:12" ht="45" customHeight="1" thickBot="1">
      <c r="A13" s="20"/>
      <c r="B13" s="497"/>
      <c r="C13" s="176" t="s">
        <v>193</v>
      </c>
      <c r="D13" s="489"/>
      <c r="E13" s="92" t="str">
        <f>IF(E11="Tiesa","True","False")</f>
        <v>False</v>
      </c>
      <c r="F13" s="106" t="str">
        <f>IF(F11="Tiesa","True","False")</f>
        <v>False</v>
      </c>
      <c r="G13" s="25"/>
      <c r="H13" s="26"/>
      <c r="I13" s="12"/>
      <c r="J13" s="12"/>
    </row>
    <row r="14" spans="1:12" ht="33.75" customHeight="1">
      <c r="A14" s="20"/>
      <c r="B14" s="495" t="s">
        <v>194</v>
      </c>
      <c r="C14" s="485" t="s">
        <v>195</v>
      </c>
      <c r="D14" s="487" t="s">
        <v>196</v>
      </c>
      <c r="E14" s="91" t="str">
        <f>IF((ABS(E28)+eps&lt;ABS($E$30))*(E31&lt;-eps),"Tiesa","Netiesa")</f>
        <v>Netiesa</v>
      </c>
      <c r="F14" s="104" t="str">
        <f>IF((ABS(F28)+eps&lt;ABS($E$30))*(F31&lt;-eps),"Tiesa","Netiesa")</f>
        <v>Netiesa</v>
      </c>
      <c r="I14" s="12"/>
      <c r="J14" s="12"/>
    </row>
    <row r="15" spans="1:12" ht="33" customHeight="1">
      <c r="A15" s="20"/>
      <c r="B15" s="496"/>
      <c r="C15" s="486"/>
      <c r="D15" s="488"/>
      <c r="E15" s="93" t="str">
        <f>CONCATENATE(FIXED(ABS(E28),1),IF(ABS(E28)+eps&lt;ABS($E$30)," &lt; "," ≥ "),FIXED(ABS($E$30),1)," &amp;
",FIXED(E31,1),IF(E31&lt;-eps," &lt; "," ≥ "),FIXED(0,1))</f>
        <v>1,5 ≥ 1,0 &amp;
-1,0 &lt; 0,0</v>
      </c>
      <c r="F15" s="177" t="str">
        <f>CONCATENATE(FIXED(ABS(F28),1),IF(ABS(F28)+eps&lt;ABS($E$30)," &lt; "," ≥ "),FIXED(ABS($E$30),1)," &amp;
",FIXED(F31,1),IF(F31&lt;-eps," &lt; "," ≥ "),FIXED(0,1))</f>
        <v>1,9 ≥ 1,0 &amp;
-0,1 &lt; 0,0</v>
      </c>
    </row>
    <row r="16" spans="1:12" ht="44.25" customHeight="1" thickBot="1">
      <c r="A16" s="20"/>
      <c r="B16" s="497"/>
      <c r="C16" s="176" t="s">
        <v>197</v>
      </c>
      <c r="D16" s="489"/>
      <c r="E16" s="92" t="str">
        <f>IF(E14="Tiesa","True","False")</f>
        <v>False</v>
      </c>
      <c r="F16" s="107" t="str">
        <f>IF(F14="Tiesa","True","False")</f>
        <v>False</v>
      </c>
    </row>
    <row r="17" spans="1:6" ht="34.5" customHeight="1">
      <c r="A17" s="20"/>
      <c r="B17" s="495" t="s">
        <v>198</v>
      </c>
      <c r="C17" s="509" t="s">
        <v>199</v>
      </c>
      <c r="D17" s="482" t="s">
        <v>200</v>
      </c>
      <c r="E17" s="91" t="str">
        <f>IF(($E$32&gt;0),IF((E28&gt;=E29+$E$32),"Tiesa","Netiesa"),"Netaikoma")</f>
        <v>Netaikoma</v>
      </c>
      <c r="F17" s="108" t="str">
        <f>IF(($E$32&gt;0),IF((E28&gt;=E29+$E$32),"Tiesa","Netiesa"),"Netaikoma")</f>
        <v>Netaikoma</v>
      </c>
    </row>
    <row r="18" spans="1:6" ht="15.75" customHeight="1">
      <c r="A18" s="20"/>
      <c r="B18" s="496"/>
      <c r="C18" s="510"/>
      <c r="D18" s="483"/>
      <c r="E18" s="93" t="str">
        <f>IF($E$32=0,"",CONCATENATE(FIXED(E28,1),IF(E28&gt;=E29+$E$32," ≥ "," &lt; "),FIXED(E29,1)," + ",FIXED($E$32,1)," = ",FIXED(E29+$E$32,1)))</f>
        <v/>
      </c>
      <c r="F18" s="177" t="str">
        <f>IF($E$32=0,"",CONCATENATE(FIXED(F28,1),IF(F28&gt;=F29+$E$32," ≥ "," &lt; "),FIXED(F29,1)," + ",FIXED($E$32,1)," = ",FIXED(F29+$E$32,1)))</f>
        <v/>
      </c>
    </row>
    <row r="19" spans="1:6" ht="47.25" customHeight="1" thickBot="1">
      <c r="A19" s="20"/>
      <c r="B19" s="497"/>
      <c r="C19" s="178" t="s">
        <v>201</v>
      </c>
      <c r="D19" s="511"/>
      <c r="E19" s="92" t="str">
        <f>IF(E17="Tiesa","True",IF(E17="Netaikoma","Not applicable","False"))</f>
        <v>Not applicable</v>
      </c>
      <c r="F19" s="107" t="str">
        <f>IF(F17="Tiesa","True",IF(F17="Netaikoma","Not applicable","False"))</f>
        <v>Not applicable</v>
      </c>
    </row>
    <row r="20" spans="1:6" ht="15">
      <c r="A20" s="20"/>
      <c r="B20" s="495" t="s">
        <v>202</v>
      </c>
      <c r="C20" s="480" t="s">
        <v>203</v>
      </c>
      <c r="D20" s="482"/>
      <c r="E20" s="141" t="s">
        <v>204</v>
      </c>
      <c r="F20" s="109" t="s">
        <v>204</v>
      </c>
    </row>
    <row r="21" spans="1:6" ht="43.9" customHeight="1">
      <c r="A21" s="20"/>
      <c r="B21" s="496"/>
      <c r="C21" s="481"/>
      <c r="D21" s="483"/>
      <c r="E21" s="142" t="s">
        <v>49</v>
      </c>
      <c r="F21" s="110" t="s">
        <v>49</v>
      </c>
    </row>
    <row r="22" spans="1:6" ht="21" customHeight="1">
      <c r="A22" s="20"/>
      <c r="B22" s="496"/>
      <c r="C22" s="512" t="s">
        <v>205</v>
      </c>
      <c r="D22" s="483"/>
      <c r="E22" s="148" t="s">
        <v>206</v>
      </c>
      <c r="F22" s="111" t="s">
        <v>206</v>
      </c>
    </row>
    <row r="23" spans="1:6" ht="43.9" customHeight="1" thickBot="1">
      <c r="A23" s="20"/>
      <c r="B23" s="508"/>
      <c r="C23" s="513"/>
      <c r="D23" s="484"/>
      <c r="E23" s="149" t="s">
        <v>44</v>
      </c>
      <c r="F23" s="112" t="s">
        <v>44</v>
      </c>
    </row>
    <row r="24" spans="1:6" ht="15.75" customHeight="1" thickTop="1">
      <c r="A24" s="20"/>
      <c r="B24" s="20"/>
      <c r="C24" s="471" t="s">
        <v>207</v>
      </c>
      <c r="D24" s="471"/>
      <c r="E24" s="471"/>
      <c r="F24" s="471"/>
    </row>
    <row r="25" spans="1:6" ht="15.75" customHeight="1">
      <c r="A25" s="20"/>
      <c r="B25" s="20"/>
      <c r="C25" s="494" t="s">
        <v>208</v>
      </c>
      <c r="D25" s="494"/>
      <c r="E25" s="494"/>
      <c r="F25" s="494"/>
    </row>
    <row r="26" spans="1:6" ht="15" thickBot="1">
      <c r="A26" s="20"/>
      <c r="B26" s="20"/>
      <c r="C26" s="179" t="s">
        <v>209</v>
      </c>
      <c r="D26" s="180"/>
      <c r="E26" s="181"/>
      <c r="F26" s="181"/>
    </row>
    <row r="27" spans="1:6" ht="15.75" thickTop="1" thickBot="1">
      <c r="A27" s="20"/>
      <c r="B27" s="20"/>
      <c r="C27" s="182" t="s">
        <v>210</v>
      </c>
      <c r="D27" s="183" t="s">
        <v>211</v>
      </c>
      <c r="E27" s="472">
        <v>2025</v>
      </c>
      <c r="F27" s="473"/>
    </row>
    <row r="28" spans="1:6" ht="15" thickBot="1">
      <c r="A28" s="20"/>
      <c r="B28" s="20"/>
      <c r="C28" s="20"/>
      <c r="D28" s="183" t="s">
        <v>212</v>
      </c>
      <c r="E28" s="184">
        <f>'3. GGbudget'!F30</f>
        <v>-1.5348787891020055</v>
      </c>
      <c r="F28" s="185">
        <f>'3. GGbudget'!H30</f>
        <v>-1.9075347590529397</v>
      </c>
    </row>
    <row r="29" spans="1:6" ht="15" thickBot="1">
      <c r="A29" s="20"/>
      <c r="B29" s="20"/>
      <c r="C29" s="20"/>
      <c r="D29" s="183" t="s">
        <v>213</v>
      </c>
      <c r="E29" s="184">
        <f>'3. GGbudget'!E30</f>
        <v>-0.70928449213427502</v>
      </c>
      <c r="F29" s="185">
        <f>'3. GGbudget'!G30</f>
        <v>-1.3684743786615947</v>
      </c>
    </row>
    <row r="30" spans="1:6" ht="15" thickBot="1">
      <c r="A30" s="20"/>
      <c r="B30" s="20"/>
      <c r="C30" s="20"/>
      <c r="D30" s="183" t="s">
        <v>214</v>
      </c>
      <c r="E30" s="474">
        <f>'3. GGbudget'!F33</f>
        <v>-1</v>
      </c>
      <c r="F30" s="475"/>
    </row>
    <row r="31" spans="1:6" ht="15" thickBot="1">
      <c r="A31" s="20"/>
      <c r="B31" s="20"/>
      <c r="C31" s="20"/>
      <c r="D31" s="183" t="s">
        <v>215</v>
      </c>
      <c r="E31" s="184">
        <f>'2. Macro'!M20</f>
        <v>-1.0216612779306966</v>
      </c>
      <c r="F31" s="185">
        <f>'2. Macro'!M19</f>
        <v>-8.7686415898280412E-2</v>
      </c>
    </row>
    <row r="32" spans="1:6" ht="15" thickBot="1">
      <c r="A32" s="20"/>
      <c r="B32" s="20"/>
      <c r="C32" s="20"/>
      <c r="D32" s="183" t="s">
        <v>216</v>
      </c>
      <c r="E32" s="478">
        <f>'3. GGbudget'!F34</f>
        <v>0</v>
      </c>
      <c r="F32" s="479"/>
    </row>
    <row r="33" spans="1:9" ht="15.75" thickTop="1" thickBot="1">
      <c r="A33" s="20"/>
      <c r="B33" s="20"/>
      <c r="C33" s="20"/>
      <c r="D33" s="183" t="s">
        <v>61</v>
      </c>
      <c r="E33" s="20"/>
      <c r="F33" s="20"/>
      <c r="G33" s="43" t="s">
        <v>62</v>
      </c>
    </row>
    <row r="34" spans="1:9" ht="15.75" thickTop="1" thickBot="1">
      <c r="A34" s="20"/>
      <c r="B34" s="20"/>
      <c r="C34" s="183"/>
      <c r="D34" s="183" t="s">
        <v>63</v>
      </c>
      <c r="E34" s="426" t="s">
        <v>37</v>
      </c>
      <c r="F34" s="427"/>
      <c r="G34" s="43" t="s">
        <v>64</v>
      </c>
    </row>
    <row r="35" spans="1:9" ht="15" thickBot="1">
      <c r="A35" s="20"/>
      <c r="B35" s="20"/>
      <c r="C35" s="183"/>
      <c r="D35" s="183" t="s">
        <v>217</v>
      </c>
      <c r="E35" s="428" t="s">
        <v>38</v>
      </c>
      <c r="F35" s="429"/>
      <c r="G35" s="37" t="s">
        <v>218</v>
      </c>
    </row>
    <row r="36" spans="1:9" s="8" customFormat="1" ht="15.75" thickTop="1">
      <c r="C36" s="28" t="s">
        <v>219</v>
      </c>
      <c r="D36" s="29" t="s">
        <v>220</v>
      </c>
      <c r="E36" s="38">
        <f>J13*1</f>
        <v>0</v>
      </c>
      <c r="F36" s="30"/>
    </row>
    <row r="37" spans="1:9" s="8" customFormat="1" ht="15">
      <c r="C37" s="28" t="s">
        <v>221</v>
      </c>
      <c r="D37" s="29" t="s">
        <v>222</v>
      </c>
      <c r="E37" s="38">
        <f>J15*1</f>
        <v>0</v>
      </c>
      <c r="F37" s="30"/>
    </row>
    <row r="38" spans="1:9" s="8" customFormat="1" ht="15">
      <c r="C38" s="28" t="s">
        <v>223</v>
      </c>
      <c r="D38" s="29" t="s">
        <v>224</v>
      </c>
      <c r="E38" s="38">
        <f>J17*1</f>
        <v>0</v>
      </c>
      <c r="F38" s="30"/>
      <c r="G38" s="31"/>
    </row>
    <row r="39" spans="1:9" s="8" customFormat="1" ht="15">
      <c r="C39" s="28" t="s">
        <v>225</v>
      </c>
      <c r="D39" s="29" t="s">
        <v>226</v>
      </c>
      <c r="E39" s="38">
        <f>J19*1</f>
        <v>0</v>
      </c>
      <c r="F39" s="30"/>
      <c r="G39" s="31"/>
    </row>
    <row r="40" spans="1:9" s="8" customFormat="1" ht="15">
      <c r="E40" s="38">
        <f>SUM(E36:E39)</f>
        <v>0</v>
      </c>
      <c r="F40" s="30"/>
    </row>
    <row r="41" spans="1:9" ht="15">
      <c r="C41" s="10"/>
      <c r="D41" s="10"/>
      <c r="E41" s="39"/>
      <c r="F41" s="10"/>
      <c r="G41" s="8"/>
      <c r="H41" s="8"/>
      <c r="I41" s="8"/>
    </row>
    <row r="42" spans="1:9">
      <c r="C42" s="10"/>
      <c r="D42" s="10"/>
      <c r="E42" s="10"/>
      <c r="F42" s="10"/>
      <c r="G42" s="8"/>
      <c r="H42" s="8"/>
      <c r="I42" s="8"/>
    </row>
    <row r="43" spans="1:9">
      <c r="C43" s="12"/>
      <c r="D43" s="10"/>
      <c r="E43" s="10"/>
      <c r="F43" s="10"/>
    </row>
    <row r="44" spans="1:9">
      <c r="C44" s="12"/>
      <c r="D44" s="10"/>
      <c r="E44" s="10"/>
      <c r="F44" s="10"/>
    </row>
    <row r="45" spans="1:9">
      <c r="C45" s="12"/>
      <c r="D45" s="12"/>
      <c r="E45" s="12"/>
      <c r="F45" s="12"/>
    </row>
  </sheetData>
  <mergeCells count="31">
    <mergeCell ref="B20:B23"/>
    <mergeCell ref="C17:C18"/>
    <mergeCell ref="D17:D19"/>
    <mergeCell ref="B17:B19"/>
    <mergeCell ref="C14:C15"/>
    <mergeCell ref="D14:D16"/>
    <mergeCell ref="B14:B16"/>
    <mergeCell ref="C22:C23"/>
    <mergeCell ref="B11:B13"/>
    <mergeCell ref="B1:C1"/>
    <mergeCell ref="B3:F3"/>
    <mergeCell ref="E4:F4"/>
    <mergeCell ref="C8:C9"/>
    <mergeCell ref="D8:D10"/>
    <mergeCell ref="B8:B10"/>
    <mergeCell ref="B5:D5"/>
    <mergeCell ref="B6:B7"/>
    <mergeCell ref="E35:F35"/>
    <mergeCell ref="C24:F24"/>
    <mergeCell ref="E27:F27"/>
    <mergeCell ref="E30:F30"/>
    <mergeCell ref="E6:F6"/>
    <mergeCell ref="E32:F32"/>
    <mergeCell ref="E34:F34"/>
    <mergeCell ref="C20:C21"/>
    <mergeCell ref="D20:D23"/>
    <mergeCell ref="C11:C12"/>
    <mergeCell ref="D11:D13"/>
    <mergeCell ref="E7:F7"/>
    <mergeCell ref="D6:D7"/>
    <mergeCell ref="C25:F25"/>
  </mergeCells>
  <hyperlinks>
    <hyperlink ref="B1" location="Content!A1" display="↖ atgal į turinį" xr:uid="{BE79719A-0CEF-43F6-8533-8159F8E4F378}"/>
    <hyperlink ref="B1:C1" location="Content!A1" display="↖ atgal į turinį " xr:uid="{2E7372A4-D025-4044-906F-E47FE9BAC84E}"/>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463EA-6BAA-42B9-8D41-2248E3036D0F}">
  <sheetPr codeName="Lapas6">
    <tabColor theme="7"/>
  </sheetPr>
  <dimension ref="A1:K70"/>
  <sheetViews>
    <sheetView showGridLines="0" showRowColHeaders="0" topLeftCell="C37" zoomScale="80" zoomScaleNormal="80" workbookViewId="0">
      <selection activeCell="G34" sqref="G34"/>
    </sheetView>
  </sheetViews>
  <sheetFormatPr defaultColWidth="10" defaultRowHeight="14.25"/>
  <cols>
    <col min="1" max="1" width="3.7109375" style="1" customWidth="1"/>
    <col min="2" max="2" width="5.5703125" style="35" customWidth="1"/>
    <col min="3" max="3" width="100.7109375" style="1" customWidth="1"/>
    <col min="4" max="4" width="14.5703125" style="1" customWidth="1"/>
    <col min="5" max="5" width="25.42578125" style="1" customWidth="1"/>
    <col min="6" max="7" width="17" style="1" customWidth="1"/>
    <col min="8" max="8" width="12" style="1" customWidth="1"/>
    <col min="9" max="16384" width="10" style="1"/>
  </cols>
  <sheetData>
    <row r="1" spans="1:10">
      <c r="A1" s="2"/>
      <c r="B1" s="528" t="s">
        <v>32</v>
      </c>
      <c r="C1" s="528"/>
    </row>
    <row r="2" spans="1:10" ht="15" thickBot="1">
      <c r="A2" s="8" t="s">
        <v>33</v>
      </c>
    </row>
    <row r="3" spans="1:10" ht="39.75" customHeight="1" thickTop="1" thickBot="1">
      <c r="B3" s="499" t="s">
        <v>227</v>
      </c>
      <c r="C3" s="500"/>
      <c r="D3" s="500"/>
      <c r="E3" s="500"/>
      <c r="F3" s="500"/>
      <c r="G3" s="501"/>
    </row>
    <row r="4" spans="1:10" ht="30" customHeight="1" thickBot="1">
      <c r="B4" s="145" t="s">
        <v>228</v>
      </c>
      <c r="C4" s="192" t="s">
        <v>229</v>
      </c>
      <c r="D4" s="529" t="s">
        <v>182</v>
      </c>
      <c r="E4" s="530"/>
      <c r="F4" s="502" t="s">
        <v>183</v>
      </c>
      <c r="G4" s="503"/>
      <c r="H4" s="45"/>
    </row>
    <row r="5" spans="1:10" ht="33.75" customHeight="1" thickBot="1">
      <c r="B5" s="504" t="s">
        <v>184</v>
      </c>
      <c r="C5" s="505"/>
      <c r="D5" s="505"/>
      <c r="E5" s="505"/>
      <c r="F5" s="144" t="s">
        <v>37</v>
      </c>
      <c r="G5" s="103" t="s">
        <v>38</v>
      </c>
      <c r="H5" s="5"/>
      <c r="I5" s="5"/>
      <c r="J5" s="5"/>
    </row>
    <row r="6" spans="1:10" ht="15" customHeight="1">
      <c r="B6" s="506"/>
      <c r="C6" s="186" t="s">
        <v>185</v>
      </c>
      <c r="D6" s="492"/>
      <c r="E6" s="492"/>
      <c r="F6" s="476" t="str">
        <f>"Ne"</f>
        <v>Ne</v>
      </c>
      <c r="G6" s="477"/>
    </row>
    <row r="7" spans="1:10" ht="14.25" customHeight="1" thickBot="1">
      <c r="B7" s="507"/>
      <c r="C7" s="187" t="s">
        <v>40</v>
      </c>
      <c r="D7" s="493"/>
      <c r="E7" s="493"/>
      <c r="F7" s="490" t="str">
        <f>"No"</f>
        <v>No</v>
      </c>
      <c r="G7" s="491"/>
    </row>
    <row r="8" spans="1:10" ht="30" customHeight="1">
      <c r="B8" s="514" t="s">
        <v>230</v>
      </c>
      <c r="C8" s="485" t="s">
        <v>231</v>
      </c>
      <c r="D8" s="487"/>
      <c r="E8" s="487"/>
      <c r="F8" s="130" t="str">
        <f>IF(F51+eps&lt;AVERAGE('2. Macro'!G32:K32)+2,"Tiesa","Netiesa")</f>
        <v>Tiesa</v>
      </c>
      <c r="G8" s="113" t="str">
        <f>IF(F51+eps&lt;AVERAGE('2. Macro'!G32:K32)+2,"Tiesa","Netiesa")</f>
        <v>Tiesa</v>
      </c>
      <c r="H8" s="5"/>
      <c r="I8" s="5"/>
      <c r="J8" s="5"/>
    </row>
    <row r="9" spans="1:10" ht="19.5" customHeight="1">
      <c r="B9" s="515"/>
      <c r="C9" s="486"/>
      <c r="D9" s="488"/>
      <c r="E9" s="488"/>
      <c r="F9" s="133" t="str">
        <f>CONCATENATE(FIXED(F51,1),IF(F8="Tiesa"," &lt; "," ≥ "),FIXED(AVERAGE('2. Macro'!H32:L32)+2,1))</f>
        <v>6,4 &lt; 7,1</v>
      </c>
      <c r="G9" s="114" t="str">
        <f>CONCATENATE(FIXED(G51,1),IF(G8="Tiesa"," &lt; "," ≥ "),FIXED(AVERAGE('2. Macro'!H32:L32)+2,1))</f>
        <v>6,4 &lt; 7,1</v>
      </c>
      <c r="H9" s="5"/>
      <c r="I9" s="5"/>
      <c r="J9" s="5"/>
    </row>
    <row r="10" spans="1:10" ht="34.5" customHeight="1" thickBot="1">
      <c r="B10" s="516"/>
      <c r="C10" s="176" t="s">
        <v>232</v>
      </c>
      <c r="D10" s="489"/>
      <c r="E10" s="489"/>
      <c r="F10" s="138" t="str">
        <f>IF(F8="Tiesa","True","False")</f>
        <v>True</v>
      </c>
      <c r="G10" s="115" t="str">
        <f>IF(G8="Tiesa","True","False")</f>
        <v>True</v>
      </c>
      <c r="H10" s="5"/>
      <c r="I10" s="5"/>
      <c r="J10" s="5"/>
    </row>
    <row r="11" spans="1:10" ht="30" customHeight="1" thickBot="1">
      <c r="B11" s="531" t="s">
        <v>233</v>
      </c>
      <c r="C11" s="517" t="s">
        <v>234</v>
      </c>
      <c r="D11" s="534" t="s">
        <v>235</v>
      </c>
      <c r="E11" s="534"/>
      <c r="F11" s="130" t="str">
        <f>IF('3. GGbudget'!F8&gt;='3. GGbudget'!E8+1,"Tiesa","Netiesa")</f>
        <v>Netiesa</v>
      </c>
      <c r="G11" s="113" t="str">
        <f>IF('3. GGbudget'!H8&gt;='3. GGbudget'!G8+1,"Tiesa","Netiesa")</f>
        <v>Netiesa</v>
      </c>
    </row>
    <row r="12" spans="1:10" ht="15" customHeight="1" thickBot="1">
      <c r="B12" s="532"/>
      <c r="C12" s="518"/>
      <c r="D12" s="535"/>
      <c r="E12" s="535"/>
      <c r="F12" s="133" t="str">
        <f>CONCATENATE(FIXED('3. GGbudget'!F8-'3. GGbudget'!E8,1),IF(F11="Tiesa"," ≥ "," &lt; "),FIXED(1,1))</f>
        <v>-0,5 &lt; 1,0</v>
      </c>
      <c r="G12" s="114" t="str">
        <f>CONCATENATE(FIXED('3. GGbudget'!H8-'3. GGbudget'!G8,1),IF(G11="Tiesa"," ≥ "," &lt; "),FIXED(1,1))</f>
        <v>-0,5 &lt; 1,0</v>
      </c>
    </row>
    <row r="13" spans="1:10" ht="30" customHeight="1" thickBot="1">
      <c r="B13" s="533"/>
      <c r="C13" s="193" t="s">
        <v>236</v>
      </c>
      <c r="D13" s="536"/>
      <c r="E13" s="536"/>
      <c r="F13" s="138" t="str">
        <f>IF(F11="Tiesa","True","False")</f>
        <v>False</v>
      </c>
      <c r="G13" s="115" t="str">
        <f>IF(G11="Tiesa","True","False")</f>
        <v>False</v>
      </c>
    </row>
    <row r="14" spans="1:10" ht="27.75" customHeight="1" thickBot="1">
      <c r="B14" s="531" t="s">
        <v>237</v>
      </c>
      <c r="C14" s="517" t="s">
        <v>238</v>
      </c>
      <c r="D14" s="537"/>
      <c r="E14" s="537"/>
      <c r="F14" s="135" t="str">
        <f>IF(ROUND(AVERAGE('2. Macro'!G36:K36),1)&gt;=0.1,"Tiesa","Netiesa")</f>
        <v>Netiesa</v>
      </c>
      <c r="G14" s="116" t="str">
        <f>IF(ROUND(AVERAGE('2. Macro'!G35:K35),1)&gt;=0.1,"Tiesa","Netiesa")</f>
        <v>Netiesa</v>
      </c>
    </row>
    <row r="15" spans="1:10" ht="15" customHeight="1" thickBot="1">
      <c r="B15" s="532"/>
      <c r="C15" s="518"/>
      <c r="D15" s="538"/>
      <c r="E15" s="538"/>
      <c r="F15" s="139" t="str">
        <f>CONCATENATE(FIXED(AVERAGE('2. Macro'!H36:L36),1),IF(F14="Tiesa"," ≥ "," &lt; "),FIXED(0.1,1))</f>
        <v>-2,0 &lt; 0,1</v>
      </c>
      <c r="G15" s="117" t="str">
        <f>CONCATENATE(FIXED(AVERAGE('2. Macro'!H35:L35),1),IF(G14="Tiesa"," ≥ "," &lt; "),FIXED(0.1,1))</f>
        <v>-2,0 &lt; 0,1</v>
      </c>
    </row>
    <row r="16" spans="1:10" ht="29.25" thickBot="1">
      <c r="B16" s="533"/>
      <c r="C16" s="193" t="s">
        <v>239</v>
      </c>
      <c r="D16" s="539"/>
      <c r="E16" s="539"/>
      <c r="F16" s="140" t="str">
        <f>IF(F14="Tiesa","True","False")</f>
        <v>False</v>
      </c>
      <c r="G16" s="118" t="str">
        <f>IF(G14="Tiesa","True","False")</f>
        <v>False</v>
      </c>
    </row>
    <row r="17" spans="2:8" ht="51.75" customHeight="1">
      <c r="B17" s="514" t="s">
        <v>240</v>
      </c>
      <c r="C17" s="517" t="s">
        <v>241</v>
      </c>
      <c r="D17" s="487" t="s">
        <v>242</v>
      </c>
      <c r="E17" s="487"/>
      <c r="F17" s="130" t="str">
        <f>IF(F57="", "Netaikoma",IF(ROUND(F58,1)&gt;=F57,"Tiesa","Netiesa"))</f>
        <v>Netaikoma</v>
      </c>
      <c r="G17" s="113" t="str">
        <f>IF(F57="", "Netaikoma",IF(ROUND(G58,1)&gt;=G57,"Tiesa","Netiesa"))</f>
        <v>Netaikoma</v>
      </c>
    </row>
    <row r="18" spans="2:8" ht="18.75" customHeight="1">
      <c r="B18" s="515"/>
      <c r="C18" s="518"/>
      <c r="D18" s="488"/>
      <c r="E18" s="488"/>
      <c r="F18" s="139" t="str">
        <f>IF(F17="Netaikoma","",CONCATENATE(FIXED(F58,1),IF(F14="Tiesa"," ≥ "," &lt; "),FIXED(F57,1)))</f>
        <v/>
      </c>
      <c r="G18" s="114" t="str">
        <f>IF(F17="Netaikoma","",CONCATENATE(FIXED(G58,1),IF(G14="Tiesa"," ≥ "," &lt; "),FIXED(G57,1)))</f>
        <v/>
      </c>
    </row>
    <row r="19" spans="2:8" ht="51.75" customHeight="1" thickBot="1">
      <c r="B19" s="516"/>
      <c r="C19" s="176" t="s">
        <v>243</v>
      </c>
      <c r="D19" s="489"/>
      <c r="E19" s="489"/>
      <c r="F19" s="138" t="str">
        <f>IF(F17="Netaikoma","Not applicable",IF(F17="Tiesa","True","False"))</f>
        <v>Not applicable</v>
      </c>
      <c r="G19" s="115" t="str">
        <f>IF(F17="Netaikoma","Not applicable",IF(G17="Tiesa","True","False"))</f>
        <v>Not applicable</v>
      </c>
    </row>
    <row r="20" spans="2:8" ht="44.25" customHeight="1">
      <c r="B20" s="514" t="s">
        <v>244</v>
      </c>
      <c r="C20" s="517" t="s">
        <v>245</v>
      </c>
      <c r="D20" s="487" t="s">
        <v>246</v>
      </c>
      <c r="E20" s="487"/>
      <c r="F20" s="130" t="str">
        <f>IF(F52+eps&lt;0,"Tiesa","Netiesa")</f>
        <v>Tiesa</v>
      </c>
      <c r="G20" s="113" t="str">
        <f>IF(G52+eps&lt;0,"Tiesa","Netiesa")</f>
        <v>Tiesa</v>
      </c>
    </row>
    <row r="21" spans="2:8" ht="20.25" customHeight="1">
      <c r="B21" s="515"/>
      <c r="C21" s="518"/>
      <c r="D21" s="488"/>
      <c r="E21" s="488"/>
      <c r="F21" s="139" t="str">
        <f>CONCATENATE(FIXED(F52,1),IF(F20="Tiesa"," &lt; "," ≥ "),FIXED(0,1))</f>
        <v>-1,0 &lt; 0,0</v>
      </c>
      <c r="G21" s="114" t="str">
        <f>CONCATENATE(FIXED(G52,1),IF(G20="Tiesa"," &lt; "," ≥ "),FIXED(0,1))</f>
        <v>-0,1 &lt; 0,0</v>
      </c>
    </row>
    <row r="22" spans="2:8" ht="48" customHeight="1" thickBot="1">
      <c r="B22" s="516"/>
      <c r="C22" s="176" t="s">
        <v>247</v>
      </c>
      <c r="D22" s="489"/>
      <c r="E22" s="489"/>
      <c r="F22" s="138" t="str">
        <f>IF(F20="Tiesa","True","False")</f>
        <v>True</v>
      </c>
      <c r="G22" s="115" t="str">
        <f>IF(G20="Tiesa","True","False")</f>
        <v>True</v>
      </c>
    </row>
    <row r="23" spans="2:8" ht="21.75" customHeight="1">
      <c r="B23" s="495" t="s">
        <v>248</v>
      </c>
      <c r="C23" s="480" t="s">
        <v>249</v>
      </c>
      <c r="D23" s="492"/>
      <c r="E23" s="492"/>
      <c r="F23" s="141" t="str">
        <f>+IF((OR(F8="Tiesa",F11="Tiesa",F14="Tiesa",F20="Tiesa")),"Taip","Ne")</f>
        <v>Taip</v>
      </c>
      <c r="G23" s="109" t="str">
        <f>+IF((OR(G8="Tiesa",G11="Tiesa",G14="Tiesa",G20="Tiesa")),"Taip","Ne")</f>
        <v>Taip</v>
      </c>
      <c r="H23" s="32"/>
    </row>
    <row r="24" spans="2:8" ht="45.75" customHeight="1">
      <c r="B24" s="496"/>
      <c r="C24" s="481"/>
      <c r="D24" s="524"/>
      <c r="E24" s="524"/>
      <c r="F24" s="142" t="str">
        <f>IF(F23="Taip",CONCATENATE("Susidaro ", IF(F64=1,CONCATENATE(H64," "),""),IF(F65=1,CONCATENATE(H65," "),""),IF(F66=1,CONCATENATE(H66," "),""),IF(F67=1,CONCATENATE(H67," "),""),IF(F68=1,CONCATENATE(H68," "),""),IF(F69=1,"aplinkybė","aplinkybės")),"Išimčių nėra")</f>
        <v>Susidaro A1 A5 aplinkybės</v>
      </c>
      <c r="G24" s="110" t="str">
        <f>IF(G23="Taip",CONCATENATE("Susidaro ", IF(G64=1,CONCATENATE(I64," "),""),IF(G65=1,CONCATENATE(I65," "),""),IF(G66=1,CONCATENATE(I66," "),""),IF(G67=1,CONCATENATE(I67," "),""),IF(G68=1,CONCATENATE(I68," "),""),IF(G69=1,"aplinkybė","aplinkybės")),"Išimčių nėra")</f>
        <v>Susidaro A1 A5 aplinkybės</v>
      </c>
    </row>
    <row r="25" spans="2:8" ht="18" customHeight="1">
      <c r="B25" s="496"/>
      <c r="C25" s="512" t="s">
        <v>250</v>
      </c>
      <c r="D25" s="524"/>
      <c r="E25" s="524"/>
      <c r="F25" s="143" t="str">
        <f>IF(F23="Taip","Yes","No")</f>
        <v>Yes</v>
      </c>
      <c r="G25" s="119" t="str">
        <f>IF(G23="Taip","Yes","No")</f>
        <v>Yes</v>
      </c>
    </row>
    <row r="26" spans="2:8" ht="55.5" customHeight="1" thickBot="1">
      <c r="B26" s="497"/>
      <c r="C26" s="525"/>
      <c r="D26" s="493"/>
      <c r="E26" s="493"/>
      <c r="F26" s="132" t="str">
        <f>IF(F25="Yes",CONCATENATE(IF(F69=1,"Escape clause ","Escape clauses "), IF(F64=1,CONCATENATE(H64," "),""),IF(F65=1,CONCATENATE(H65," "),""),IF(F66=1,CONCATENATE(H66," "),""),IF(F67=1,CONCATENATE(H67," "),""),IF(F68=1,CONCATENATE(H68," "),""),"emerge"),"No escape clauses emerge")</f>
        <v>Escape clauses A1 A5 emerge</v>
      </c>
      <c r="G26" s="120" t="str">
        <f>IF(G25="Yes",CONCATENATE(IF(G69=1,"Escape clause ","Escape clauses "), IF(G64=1,CONCATENATE(I64," "),""),IF(G65=1,CONCATENATE(I65," "),""),IF(G66=1,CONCATENATE(I66," "),""),IF(G67=1,CONCATENATE(I67," "),""),IF(G68=1,CONCATENATE(I68," "),""),"emerge"),"No escape clauses emerge")</f>
        <v>Escape clauses A1 A5 emerge</v>
      </c>
    </row>
    <row r="27" spans="2:8" ht="33.75" customHeight="1" thickBot="1">
      <c r="B27" s="146" t="s">
        <v>251</v>
      </c>
      <c r="C27" s="147" t="s">
        <v>252</v>
      </c>
      <c r="D27" s="521" t="s">
        <v>253</v>
      </c>
      <c r="E27" s="522"/>
      <c r="F27" s="519" t="s">
        <v>254</v>
      </c>
      <c r="G27" s="520"/>
      <c r="H27" s="33"/>
    </row>
    <row r="28" spans="2:8" ht="32.25" customHeight="1">
      <c r="B28" s="495" t="s">
        <v>255</v>
      </c>
      <c r="C28" s="523" t="s">
        <v>256</v>
      </c>
      <c r="D28" s="194"/>
      <c r="E28" s="195"/>
      <c r="F28" s="136" t="str">
        <f>IF((F23="Taip"),"",IF(AVERAGE('2. Macro'!G36:K36)+eps&lt;0,"Tiesa","Netiesa"))</f>
        <v/>
      </c>
      <c r="G28" s="121" t="str">
        <f>IF((G23="Taip"),"",IF(AVERAGE('2. Macro'!G35:K35)+eps&lt;0,"Tiesa","Netiesa"))</f>
        <v/>
      </c>
    </row>
    <row r="29" spans="2:8" ht="15.75" customHeight="1">
      <c r="B29" s="496"/>
      <c r="C29" s="523"/>
      <c r="D29" s="78" t="s">
        <v>257</v>
      </c>
      <c r="E29" s="196"/>
      <c r="F29" s="93" t="str">
        <f>IF((F23="Taip"),"",CONCATENATE(FIXED(AVERAGE('2. Macro'!G36:K36),1),IF(F28="Tiesa"," &lt; "," ≥ "),FIXED(0,1)))</f>
        <v/>
      </c>
      <c r="G29" s="122" t="str">
        <f>IF((G23="Taip"),"",CONCATENATE(FIXED(AVERAGE('2. Macro'!G35:K35),1),IF(G28="Tiesa"," &lt; "," ≥ "),FIXED(0,1)))</f>
        <v/>
      </c>
    </row>
    <row r="30" spans="2:8" ht="18" customHeight="1">
      <c r="B30" s="496"/>
      <c r="C30" s="523"/>
      <c r="D30" s="78"/>
      <c r="E30" s="196"/>
      <c r="F30" s="137" t="str">
        <f>IF(F25="Yes","",IF(F28="Tiesa","True","False"))</f>
        <v/>
      </c>
      <c r="G30" s="123" t="str">
        <f>IF(G25="Yes","",IF(G28="Tiesa","True","False"))</f>
        <v/>
      </c>
    </row>
    <row r="31" spans="2:8" ht="24" customHeight="1">
      <c r="B31" s="496"/>
      <c r="C31" s="523"/>
      <c r="D31" s="194"/>
      <c r="E31" s="195"/>
      <c r="F31" s="378" t="str">
        <f>IF(OR(F23="Taip",F28="Netiesa",F6="Taip"),"Netaikoma", IF(F53&lt;=(F54)*(0.5*F56),"Tenkinama","Netenkinama"))</f>
        <v>Netaikoma</v>
      </c>
      <c r="G31" s="379" t="str">
        <f>IF(OR(G23="Taip",G28="Netiesa",F6="Taip"),"Netaikoma", IF(G53&lt;=(G54)*(0.5*G56),"Tenkinama","Netenkinama"))</f>
        <v>Netaikoma</v>
      </c>
    </row>
    <row r="32" spans="2:8" ht="69" customHeight="1">
      <c r="B32" s="496"/>
      <c r="C32" s="523"/>
      <c r="D32" s="78"/>
      <c r="E32" s="196"/>
      <c r="F32" s="380" t="s">
        <v>49</v>
      </c>
      <c r="G32" s="381" t="s">
        <v>49</v>
      </c>
    </row>
    <row r="33" spans="2:11" ht="21" customHeight="1">
      <c r="B33" s="496"/>
      <c r="C33" s="526" t="s">
        <v>258</v>
      </c>
      <c r="D33" s="78"/>
      <c r="E33" s="196"/>
      <c r="F33" s="382" t="s">
        <v>206</v>
      </c>
      <c r="G33" s="383" t="s">
        <v>206</v>
      </c>
    </row>
    <row r="34" spans="2:11" ht="70.5" customHeight="1">
      <c r="B34" s="508"/>
      <c r="C34" s="527"/>
      <c r="D34" s="197"/>
      <c r="E34" s="198"/>
      <c r="F34" s="384" t="s">
        <v>44</v>
      </c>
      <c r="G34" s="385" t="s">
        <v>44</v>
      </c>
    </row>
    <row r="35" spans="2:11" ht="28.5" customHeight="1">
      <c r="B35" s="55"/>
      <c r="C35" s="471" t="s">
        <v>259</v>
      </c>
      <c r="D35" s="471"/>
      <c r="E35" s="471"/>
      <c r="F35" s="199"/>
      <c r="G35" s="199"/>
    </row>
    <row r="36" spans="2:11" ht="28.5" customHeight="1">
      <c r="B36" s="55"/>
      <c r="C36" s="494" t="s">
        <v>260</v>
      </c>
      <c r="D36" s="494"/>
      <c r="E36" s="494"/>
      <c r="F36" s="199"/>
      <c r="G36" s="199"/>
    </row>
    <row r="37" spans="2:11" ht="18.75" customHeight="1" thickBot="1">
      <c r="B37" s="55"/>
      <c r="C37" s="179" t="s">
        <v>261</v>
      </c>
      <c r="D37" s="200"/>
      <c r="E37" s="200"/>
      <c r="F37" s="199"/>
      <c r="G37" s="199"/>
    </row>
    <row r="38" spans="2:11" ht="15" customHeight="1" thickTop="1" thickBot="1">
      <c r="B38" s="55"/>
      <c r="C38" s="182" t="s">
        <v>262</v>
      </c>
      <c r="D38" s="199"/>
      <c r="E38" s="20"/>
      <c r="F38" s="545">
        <v>2025</v>
      </c>
      <c r="G38" s="546"/>
    </row>
    <row r="39" spans="2:11" ht="15.75" thickBot="1">
      <c r="B39" s="55"/>
      <c r="C39" s="201"/>
      <c r="D39" s="199"/>
      <c r="E39" s="183" t="s">
        <v>263</v>
      </c>
      <c r="F39" s="258">
        <f>'3. GGbudget'!F21</f>
        <v>30494.3</v>
      </c>
      <c r="G39" s="259">
        <f>'3. GGbudget'!H21</f>
        <v>30494.3</v>
      </c>
      <c r="H39" s="54"/>
    </row>
    <row r="40" spans="2:11" ht="15" customHeight="1" thickBot="1">
      <c r="B40" s="55"/>
      <c r="C40" s="199"/>
      <c r="D40" s="199"/>
      <c r="E40" s="183" t="s">
        <v>264</v>
      </c>
      <c r="F40" s="258">
        <f>'3. GGbudget'!E21</f>
        <v>25837.599999999999</v>
      </c>
      <c r="G40" s="259">
        <f>'3. GGbudget'!G21</f>
        <v>25837.599999999999</v>
      </c>
      <c r="H40" s="54"/>
    </row>
    <row r="41" spans="2:11" ht="15" thickBot="1">
      <c r="B41" s="55"/>
      <c r="C41" s="199"/>
      <c r="D41" s="199"/>
      <c r="E41" s="183" t="s">
        <v>265</v>
      </c>
      <c r="F41" s="551">
        <v>2819.07</v>
      </c>
      <c r="G41" s="552"/>
      <c r="H41" s="36"/>
    </row>
    <row r="42" spans="2:11" ht="15" thickBot="1">
      <c r="B42" s="55"/>
      <c r="C42" s="199"/>
      <c r="D42" s="199"/>
      <c r="E42" s="183" t="s">
        <v>266</v>
      </c>
      <c r="F42" s="551">
        <v>2213.8000000000002</v>
      </c>
      <c r="G42" s="552"/>
      <c r="H42" s="36"/>
    </row>
    <row r="43" spans="2:11" ht="15" thickBot="1">
      <c r="B43" s="55"/>
      <c r="C43" s="180"/>
      <c r="D43" s="202"/>
      <c r="E43" s="183" t="s">
        <v>267</v>
      </c>
      <c r="F43" s="260">
        <f>'3. GGbudget'!F15</f>
        <v>34738.5</v>
      </c>
      <c r="G43" s="259">
        <f>'3. GGbudget'!H15</f>
        <v>34738.5</v>
      </c>
      <c r="H43" s="36"/>
    </row>
    <row r="44" spans="2:11" ht="15" thickBot="1">
      <c r="B44" s="55"/>
      <c r="C44" s="180"/>
      <c r="D44" s="202"/>
      <c r="E44" s="183" t="s">
        <v>268</v>
      </c>
      <c r="F44" s="260">
        <f>'3. GGbudget'!E15</f>
        <v>31136.9</v>
      </c>
      <c r="G44" s="259">
        <f>'3. GGbudget'!G15</f>
        <v>31136.9</v>
      </c>
      <c r="H44" s="36"/>
    </row>
    <row r="45" spans="2:11" ht="15" thickBot="1">
      <c r="B45" s="55"/>
      <c r="C45" s="180"/>
      <c r="D45" s="202"/>
      <c r="E45" s="183" t="s">
        <v>269</v>
      </c>
      <c r="F45" s="258">
        <f>'2. Macro'!L36-'2. Macro'!K36</f>
        <v>-0.61755728701333246</v>
      </c>
      <c r="G45" s="158">
        <f>'2. Macro'!L35-'2. Macro'!K35</f>
        <v>-0.61755728701333246</v>
      </c>
    </row>
    <row r="46" spans="2:11" ht="15" thickBot="1">
      <c r="B46" s="55"/>
      <c r="C46" s="203"/>
      <c r="D46" s="202"/>
      <c r="E46" s="183" t="s">
        <v>270</v>
      </c>
      <c r="F46" s="258">
        <f>('2. Macro'!L36-'2. Macro'!K36)-('2. Macro'!K36-'2. Macro'!J36)</f>
        <v>-0.6718506511183393</v>
      </c>
      <c r="G46" s="158">
        <f>('2. Macro'!L35-'2. Macro'!K35)-('2. Macro'!K35-'2. Macro'!J35)</f>
        <v>-0.6718506511183393</v>
      </c>
    </row>
    <row r="47" spans="2:11" ht="15" customHeight="1" thickBot="1">
      <c r="B47" s="55"/>
      <c r="C47" s="204" t="s">
        <v>271</v>
      </c>
      <c r="D47" s="202"/>
      <c r="E47" s="204" t="s">
        <v>272</v>
      </c>
      <c r="F47" s="547">
        <v>1.0349999999999999</v>
      </c>
      <c r="G47" s="548"/>
      <c r="I47" s="553" t="s">
        <v>273</v>
      </c>
      <c r="J47" s="553"/>
      <c r="K47" s="553"/>
    </row>
    <row r="48" spans="2:11" ht="15" customHeight="1" thickBot="1">
      <c r="B48" s="55"/>
      <c r="C48" s="204" t="s">
        <v>274</v>
      </c>
      <c r="D48" s="202"/>
      <c r="E48" s="204" t="s">
        <v>275</v>
      </c>
      <c r="F48" s="547">
        <v>1.0369999999999999</v>
      </c>
      <c r="G48" s="548"/>
      <c r="I48" s="553" t="s">
        <v>276</v>
      </c>
      <c r="J48" s="553"/>
      <c r="K48" s="553"/>
    </row>
    <row r="49" spans="2:11" ht="15" customHeight="1" thickBot="1">
      <c r="B49" s="55"/>
      <c r="C49" s="204" t="s">
        <v>277</v>
      </c>
      <c r="D49" s="202"/>
      <c r="E49" s="204" t="s">
        <v>278</v>
      </c>
      <c r="F49" s="549">
        <v>1.0349999999999999</v>
      </c>
      <c r="G49" s="550"/>
      <c r="I49" s="553" t="s">
        <v>279</v>
      </c>
      <c r="J49" s="553"/>
      <c r="K49" s="553"/>
    </row>
    <row r="50" spans="2:11" ht="15" customHeight="1" thickBot="1">
      <c r="B50" s="55"/>
      <c r="C50" s="204" t="s">
        <v>280</v>
      </c>
      <c r="D50" s="202"/>
      <c r="E50" s="204" t="s">
        <v>281</v>
      </c>
      <c r="F50" s="549">
        <v>1.036</v>
      </c>
      <c r="G50" s="550"/>
      <c r="I50" s="553" t="s">
        <v>282</v>
      </c>
      <c r="J50" s="553"/>
      <c r="K50" s="553"/>
    </row>
    <row r="51" spans="2:11" ht="15" customHeight="1" thickBot="1">
      <c r="B51" s="55"/>
      <c r="C51" s="205" t="s">
        <v>283</v>
      </c>
      <c r="D51" s="202"/>
      <c r="E51" s="204" t="s">
        <v>284</v>
      </c>
      <c r="F51" s="258">
        <f>'2. Macro'!M9</f>
        <v>6.411700815988608</v>
      </c>
      <c r="G51" s="258">
        <f>'2. Macro'!M9</f>
        <v>6.411700815988608</v>
      </c>
      <c r="H51" s="52"/>
      <c r="I51" s="553" t="s">
        <v>285</v>
      </c>
      <c r="J51" s="553"/>
      <c r="K51" s="553"/>
    </row>
    <row r="52" spans="2:11" ht="15" customHeight="1" thickBot="1">
      <c r="B52" s="55"/>
      <c r="C52" s="20"/>
      <c r="D52" s="202"/>
      <c r="E52" s="183" t="s">
        <v>286</v>
      </c>
      <c r="F52" s="258">
        <f>'2. Macro'!M20</f>
        <v>-1.0216612779306966</v>
      </c>
      <c r="G52" s="158">
        <f>'2. Macro'!M19</f>
        <v>-8.7686415898280412E-2</v>
      </c>
    </row>
    <row r="53" spans="2:11" ht="15" customHeight="1" thickBot="1">
      <c r="B53" s="55"/>
      <c r="C53" s="20"/>
      <c r="D53" s="183"/>
      <c r="E53" s="183" t="s">
        <v>287</v>
      </c>
      <c r="F53" s="261">
        <f>F39-F41</f>
        <v>27675.23</v>
      </c>
      <c r="G53" s="262">
        <f>+G39-F41</f>
        <v>27675.23</v>
      </c>
      <c r="H53" s="54"/>
      <c r="I53" s="52"/>
    </row>
    <row r="54" spans="2:11" ht="15" customHeight="1" thickBot="1">
      <c r="B54" s="55"/>
      <c r="C54" s="20"/>
      <c r="D54" s="183"/>
      <c r="E54" s="183" t="s">
        <v>288</v>
      </c>
      <c r="F54" s="261">
        <f>F40-F42</f>
        <v>23623.8</v>
      </c>
      <c r="G54" s="262">
        <f>+G40-$F$42</f>
        <v>23623.8</v>
      </c>
      <c r="H54" s="36"/>
      <c r="I54" s="52"/>
    </row>
    <row r="55" spans="2:11" ht="15" customHeight="1" thickBot="1">
      <c r="B55" s="55"/>
      <c r="C55" s="20"/>
      <c r="D55" s="183"/>
      <c r="E55" s="183" t="s">
        <v>289</v>
      </c>
      <c r="F55" s="261">
        <f>+(F53/F54-1)*100</f>
        <v>17.149781152905131</v>
      </c>
      <c r="G55" s="262">
        <f>+(G53/G54-1)*100</f>
        <v>17.149781152905131</v>
      </c>
      <c r="H55" s="36"/>
      <c r="I55" s="44"/>
    </row>
    <row r="56" spans="2:11" s="8" customFormat="1" ht="19.5" thickBot="1">
      <c r="B56" s="55"/>
      <c r="C56" s="20"/>
      <c r="D56" s="183"/>
      <c r="E56" s="183" t="s">
        <v>290</v>
      </c>
      <c r="F56" s="263">
        <f>(POWER('2. Macro'!O16/'2. Macro'!E16,0.1)*POWER(PRODUCT(F47:F50),0.25)-1)*100</f>
        <v>7.0615495065777134</v>
      </c>
      <c r="G56" s="264">
        <f>(POWER('2. Macro'!O15/'2. Macro'!E15,0.1)*POWER(PRODUCT(F47:F50),0.25)-1)*100</f>
        <v>6.9411284411986518</v>
      </c>
      <c r="H56" s="36"/>
      <c r="I56" s="52"/>
    </row>
    <row r="57" spans="2:11" s="8" customFormat="1" ht="15" hidden="1" thickBot="1">
      <c r="B57" s="55"/>
      <c r="C57" s="20"/>
      <c r="D57" s="183"/>
      <c r="E57" s="183" t="s">
        <v>291</v>
      </c>
      <c r="F57" s="206"/>
      <c r="G57" s="207"/>
      <c r="H57" s="44"/>
      <c r="I57" s="44"/>
    </row>
    <row r="58" spans="2:11" s="8" customFormat="1" ht="15" hidden="1" thickBot="1">
      <c r="B58" s="55"/>
      <c r="C58" s="20"/>
      <c r="D58" s="183"/>
      <c r="E58" s="183" t="s">
        <v>292</v>
      </c>
      <c r="F58" s="208"/>
      <c r="G58" s="209"/>
      <c r="H58" s="44"/>
    </row>
    <row r="59" spans="2:11" s="8" customFormat="1" ht="15" thickTop="1">
      <c r="B59" s="55"/>
      <c r="C59" s="20"/>
      <c r="D59" s="183"/>
      <c r="E59" s="183"/>
      <c r="F59" s="210"/>
      <c r="G59" s="210"/>
    </row>
    <row r="60" spans="2:11" s="8" customFormat="1" ht="15" thickBot="1">
      <c r="B60" s="55"/>
      <c r="C60" s="20"/>
      <c r="D60" s="183"/>
      <c r="E60" s="183" t="s">
        <v>61</v>
      </c>
      <c r="F60" s="183"/>
      <c r="G60" s="211"/>
      <c r="H60" s="43" t="s">
        <v>62</v>
      </c>
    </row>
    <row r="61" spans="2:11" s="8" customFormat="1" ht="15.75" thickTop="1" thickBot="1">
      <c r="B61" s="55"/>
      <c r="C61" s="20"/>
      <c r="D61" s="183"/>
      <c r="E61" s="183" t="s">
        <v>63</v>
      </c>
      <c r="F61" s="540" t="s">
        <v>37</v>
      </c>
      <c r="G61" s="541"/>
      <c r="H61" s="43" t="s">
        <v>64</v>
      </c>
    </row>
    <row r="62" spans="2:11" s="8" customFormat="1" ht="15" thickBot="1">
      <c r="B62" s="55"/>
      <c r="C62" s="20"/>
      <c r="D62" s="183"/>
      <c r="E62" s="183" t="s">
        <v>217</v>
      </c>
      <c r="F62" s="542" t="s">
        <v>38</v>
      </c>
      <c r="G62" s="464"/>
      <c r="H62" s="37" t="s">
        <v>218</v>
      </c>
    </row>
    <row r="63" spans="2:11" s="8" customFormat="1" ht="15" thickBot="1">
      <c r="B63" s="55"/>
      <c r="C63" s="20"/>
      <c r="D63" s="183"/>
      <c r="E63" s="183" t="s">
        <v>293</v>
      </c>
      <c r="F63" s="543" t="s">
        <v>294</v>
      </c>
      <c r="G63" s="544"/>
      <c r="H63" s="43" t="s">
        <v>295</v>
      </c>
    </row>
    <row r="64" spans="2:11" s="8" customFormat="1" ht="15" thickTop="1">
      <c r="B64" s="212"/>
      <c r="C64" s="191"/>
      <c r="D64" s="213" t="s">
        <v>296</v>
      </c>
      <c r="E64" s="213"/>
      <c r="F64" s="214">
        <f>IF(F8="Tiesa",1,0)</f>
        <v>1</v>
      </c>
      <c r="G64" s="214">
        <f>IF(G8="Tiesa",1,0)</f>
        <v>1</v>
      </c>
      <c r="H64" s="41" t="str">
        <f>IF(F64=1,$D64,"")</f>
        <v>A1</v>
      </c>
      <c r="I64" s="41" t="str">
        <f>IF(G64=1,$D64,"")</f>
        <v>A1</v>
      </c>
    </row>
    <row r="65" spans="2:9">
      <c r="B65" s="212"/>
      <c r="C65" s="191"/>
      <c r="D65" s="213" t="s">
        <v>297</v>
      </c>
      <c r="E65" s="213"/>
      <c r="F65" s="214">
        <f>IF(F11="Tiesa",1,0)</f>
        <v>0</v>
      </c>
      <c r="G65" s="214">
        <f>IF(G11="Tiesa",1,0)</f>
        <v>0</v>
      </c>
      <c r="H65" s="41" t="str">
        <f>IF(F65=1,$D65,"")</f>
        <v/>
      </c>
      <c r="I65" s="41" t="str">
        <f t="shared" ref="H65:I68" si="0">IF(G65=1,$D65,"")</f>
        <v/>
      </c>
    </row>
    <row r="66" spans="2:9" ht="14.25" customHeight="1">
      <c r="B66" s="55"/>
      <c r="C66" s="215"/>
      <c r="D66" s="213" t="s">
        <v>298</v>
      </c>
      <c r="E66" s="213"/>
      <c r="F66" s="214">
        <f>IF(F14="Tiesa",1,0)</f>
        <v>0</v>
      </c>
      <c r="G66" s="214">
        <f>IF(G14="Tiesa",1,0)</f>
        <v>0</v>
      </c>
      <c r="H66" s="41" t="str">
        <f>IF(F66=1,$D66,"")</f>
        <v/>
      </c>
      <c r="I66" s="41" t="str">
        <f t="shared" si="0"/>
        <v/>
      </c>
    </row>
    <row r="67" spans="2:9">
      <c r="D67" s="41" t="s">
        <v>299</v>
      </c>
      <c r="E67" s="41"/>
      <c r="F67" s="46">
        <f>IF(F17="Tiesa",1,0)</f>
        <v>0</v>
      </c>
      <c r="G67" s="46">
        <f>IF(G17="Tiesa",1,0)</f>
        <v>0</v>
      </c>
      <c r="H67" s="41" t="str">
        <f t="shared" si="0"/>
        <v/>
      </c>
      <c r="I67" s="41" t="str">
        <f t="shared" si="0"/>
        <v/>
      </c>
    </row>
    <row r="68" spans="2:9">
      <c r="D68" s="41" t="s">
        <v>300</v>
      </c>
      <c r="E68" s="41"/>
      <c r="F68" s="46">
        <f>IF(F20="Tiesa",1,0)</f>
        <v>1</v>
      </c>
      <c r="G68" s="46">
        <f>IF(G20="Tiesa",1,0)</f>
        <v>1</v>
      </c>
      <c r="H68" s="41" t="str">
        <f t="shared" si="0"/>
        <v>A5</v>
      </c>
      <c r="I68" s="41" t="str">
        <f>IF(G68=1,$D68,"")</f>
        <v>A5</v>
      </c>
    </row>
    <row r="69" spans="2:9">
      <c r="D69" s="41"/>
      <c r="E69" s="41"/>
      <c r="F69" s="46">
        <f>SUM(F64:F68)</f>
        <v>2</v>
      </c>
      <c r="G69" s="46">
        <f>SUM(G64:G68)</f>
        <v>2</v>
      </c>
      <c r="H69" s="41"/>
      <c r="I69" s="41"/>
    </row>
    <row r="70" spans="2:9">
      <c r="D70" s="41"/>
      <c r="E70" s="41"/>
      <c r="F70" s="41"/>
      <c r="G70" s="41"/>
      <c r="H70" s="41"/>
      <c r="I70" s="41"/>
    </row>
  </sheetData>
  <mergeCells count="50">
    <mergeCell ref="I47:K47"/>
    <mergeCell ref="I48:K48"/>
    <mergeCell ref="I49:K49"/>
    <mergeCell ref="I50:K50"/>
    <mergeCell ref="I51:K51"/>
    <mergeCell ref="F61:G61"/>
    <mergeCell ref="F62:G62"/>
    <mergeCell ref="F63:G63"/>
    <mergeCell ref="F38:G38"/>
    <mergeCell ref="F48:G48"/>
    <mergeCell ref="F49:G49"/>
    <mergeCell ref="F50:G50"/>
    <mergeCell ref="F47:G47"/>
    <mergeCell ref="F41:G41"/>
    <mergeCell ref="F42:G42"/>
    <mergeCell ref="C36:E36"/>
    <mergeCell ref="C8:C9"/>
    <mergeCell ref="C35:E35"/>
    <mergeCell ref="B1:C1"/>
    <mergeCell ref="B3:G3"/>
    <mergeCell ref="D4:E4"/>
    <mergeCell ref="F4:G4"/>
    <mergeCell ref="D8:E10"/>
    <mergeCell ref="B8:B10"/>
    <mergeCell ref="B11:B13"/>
    <mergeCell ref="D11:E13"/>
    <mergeCell ref="B14:B16"/>
    <mergeCell ref="D14:E16"/>
    <mergeCell ref="C11:C12"/>
    <mergeCell ref="C14:C15"/>
    <mergeCell ref="B5:E5"/>
    <mergeCell ref="C28:C32"/>
    <mergeCell ref="B23:B26"/>
    <mergeCell ref="D23:E26"/>
    <mergeCell ref="C23:C24"/>
    <mergeCell ref="C25:C26"/>
    <mergeCell ref="B28:B34"/>
    <mergeCell ref="C33:C34"/>
    <mergeCell ref="C20:C21"/>
    <mergeCell ref="D20:E22"/>
    <mergeCell ref="B20:B22"/>
    <mergeCell ref="C17:C18"/>
    <mergeCell ref="F27:G27"/>
    <mergeCell ref="D27:E27"/>
    <mergeCell ref="B6:B7"/>
    <mergeCell ref="D6:E7"/>
    <mergeCell ref="F6:G6"/>
    <mergeCell ref="F7:G7"/>
    <mergeCell ref="B17:B19"/>
    <mergeCell ref="D17:E19"/>
  </mergeCells>
  <hyperlinks>
    <hyperlink ref="B1" location="Content!A1" display="↖ atgal į turinį" xr:uid="{157D154F-6AF6-4176-8CAF-1EEC7F40D7AF}"/>
    <hyperlink ref="B1:C1" location="Content!A1" display="↖ atgal į turinį " xr:uid="{C1F28AC6-E1C5-42D9-974A-4CDFCB905D96}"/>
  </hyperlink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0" id="{661AC5CD-FA45-44D0-80E4-D6C7BFACF0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F8</xm:sqref>
        </x14:conditionalFormatting>
        <x14:conditionalFormatting xmlns:xm="http://schemas.microsoft.com/office/excel/2006/main">
          <x14:cfRule type="iconSet" priority="21" id="{2072703B-8A07-4D04-B0E1-0E2DA3750A6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F9:F10</xm:sqref>
        </x14:conditionalFormatting>
        <x14:conditionalFormatting xmlns:xm="http://schemas.microsoft.com/office/excel/2006/main">
          <x14:cfRule type="iconSet" priority="22" id="{767D6C9B-0DB4-4EFA-8449-19373B227E0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F11:F13</xm:sqref>
        </x14:conditionalFormatting>
        <x14:conditionalFormatting xmlns:xm="http://schemas.microsoft.com/office/excel/2006/main">
          <x14:cfRule type="iconSet" priority="19" id="{66C50081-35A7-4237-8618-B818ECEB4F5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F14:F15</xm:sqref>
        </x14:conditionalFormatting>
        <x14:conditionalFormatting xmlns:xm="http://schemas.microsoft.com/office/excel/2006/main">
          <x14:cfRule type="iconSet" priority="4" id="{FF51D037-EB06-4BF3-8B74-3B0ADEDDC26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F17</xm:sqref>
        </x14:conditionalFormatting>
        <x14:conditionalFormatting xmlns:xm="http://schemas.microsoft.com/office/excel/2006/main">
          <x14:cfRule type="iconSet" priority="3" id="{1A250BF7-AA6E-46D9-B5C4-D125B630174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F18</xm:sqref>
        </x14:conditionalFormatting>
        <x14:conditionalFormatting xmlns:xm="http://schemas.microsoft.com/office/excel/2006/main">
          <x14:cfRule type="iconSet" priority="5" id="{8FA66A3C-9B93-4766-8B10-4D7BCF482E2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F19</xm:sqref>
        </x14:conditionalFormatting>
        <x14:conditionalFormatting xmlns:xm="http://schemas.microsoft.com/office/excel/2006/main">
          <x14:cfRule type="iconSet" priority="20" id="{35BF4E43-C7E3-411C-A9FA-86FE88C6C8C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F20</xm:sqref>
        </x14:conditionalFormatting>
        <x14:conditionalFormatting xmlns:xm="http://schemas.microsoft.com/office/excel/2006/main">
          <x14:cfRule type="iconSet" priority="7" id="{1D77CD43-A23A-4754-A37E-5A87E87517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F21</xm:sqref>
        </x14:conditionalFormatting>
        <x14:conditionalFormatting xmlns:xm="http://schemas.microsoft.com/office/excel/2006/main">
          <x14:cfRule type="iconSet" priority="23" id="{57139533-41E0-4B8B-859F-0874CF5677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F22:G22 G21</xm:sqref>
        </x14:conditionalFormatting>
        <x14:conditionalFormatting xmlns:xm="http://schemas.microsoft.com/office/excel/2006/main">
          <x14:cfRule type="iconSet" priority="11" id="{872A1223-A666-45AB-90C0-CD32D13D5F4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G8</xm:sqref>
        </x14:conditionalFormatting>
        <x14:conditionalFormatting xmlns:xm="http://schemas.microsoft.com/office/excel/2006/main">
          <x14:cfRule type="iconSet" priority="14" id="{C3F3D702-6C08-4B07-A875-5AF7B88710ED}">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G9:G10</xm:sqref>
        </x14:conditionalFormatting>
        <x14:conditionalFormatting xmlns:xm="http://schemas.microsoft.com/office/excel/2006/main">
          <x14:cfRule type="iconSet" priority="17" id="{E78A37C1-1D97-4A12-ABC3-6664B3D6011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G11:G12</xm:sqref>
        </x14:conditionalFormatting>
        <x14:conditionalFormatting xmlns:xm="http://schemas.microsoft.com/office/excel/2006/main">
          <x14:cfRule type="iconSet" priority="18" id="{A04B66C3-301F-4E29-A078-32683701CBC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G13</xm:sqref>
        </x14:conditionalFormatting>
        <x14:conditionalFormatting xmlns:xm="http://schemas.microsoft.com/office/excel/2006/main">
          <x14:cfRule type="iconSet" priority="16" id="{9396564F-B0F2-42C0-ABF5-BA5C738AD3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G14:G15</xm:sqref>
        </x14:conditionalFormatting>
        <x14:conditionalFormatting xmlns:xm="http://schemas.microsoft.com/office/excel/2006/main">
          <x14:cfRule type="iconSet" priority="1" id="{D6528875-3EA9-4A09-BDCE-C3A750504A2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G17</xm:sqref>
        </x14:conditionalFormatting>
        <x14:conditionalFormatting xmlns:xm="http://schemas.microsoft.com/office/excel/2006/main">
          <x14:cfRule type="iconSet" priority="2" id="{DA4118A7-23A0-4047-9FF0-1589B4EACD8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G18:G19</xm:sqref>
        </x14:conditionalFormatting>
        <x14:conditionalFormatting xmlns:xm="http://schemas.microsoft.com/office/excel/2006/main">
          <x14:cfRule type="iconSet" priority="15" id="{45899898-BB0D-4DA7-9D7A-8FF8213207BE}">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G20</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4E6CE-07CA-4C86-88DB-79F085AF440C}">
  <sheetPr codeName="Lapas7">
    <tabColor theme="7"/>
  </sheetPr>
  <dimension ref="A1:H34"/>
  <sheetViews>
    <sheetView showGridLines="0" showRowColHeaders="0" topLeftCell="A30" zoomScaleNormal="100" workbookViewId="0">
      <selection activeCell="E17" sqref="E17"/>
    </sheetView>
  </sheetViews>
  <sheetFormatPr defaultColWidth="10" defaultRowHeight="14.25"/>
  <cols>
    <col min="1" max="1" width="3.7109375" style="1" customWidth="1"/>
    <col min="2" max="2" width="4.42578125" style="1" customWidth="1"/>
    <col min="3" max="3" width="102" style="1" customWidth="1"/>
    <col min="4" max="4" width="28.28515625" style="1" customWidth="1"/>
    <col min="5" max="5" width="21.140625" style="1" customWidth="1"/>
    <col min="6" max="6" width="21.5703125" style="1" customWidth="1"/>
    <col min="7" max="16384" width="10" style="1"/>
  </cols>
  <sheetData>
    <row r="1" spans="1:6">
      <c r="B1" s="528" t="s">
        <v>32</v>
      </c>
      <c r="C1" s="528"/>
      <c r="D1" s="2"/>
    </row>
    <row r="2" spans="1:6" ht="15" thickBot="1">
      <c r="A2" s="8" t="s">
        <v>33</v>
      </c>
    </row>
    <row r="3" spans="1:6" ht="38.25" customHeight="1" thickTop="1" thickBot="1">
      <c r="B3" s="499" t="s">
        <v>301</v>
      </c>
      <c r="C3" s="500"/>
      <c r="D3" s="500"/>
      <c r="E3" s="500"/>
      <c r="F3" s="501"/>
    </row>
    <row r="4" spans="1:6" ht="43.5" thickBot="1">
      <c r="B4" s="161" t="s">
        <v>302</v>
      </c>
      <c r="C4" s="162" t="s">
        <v>303</v>
      </c>
      <c r="D4" s="162" t="s">
        <v>304</v>
      </c>
      <c r="E4" s="554" t="s">
        <v>305</v>
      </c>
      <c r="F4" s="555"/>
    </row>
    <row r="5" spans="1:6" ht="30" customHeight="1" thickBot="1">
      <c r="B5" s="504" t="s">
        <v>184</v>
      </c>
      <c r="C5" s="505"/>
      <c r="D5" s="505"/>
      <c r="E5" s="129" t="s">
        <v>37</v>
      </c>
      <c r="F5" s="124" t="s">
        <v>38</v>
      </c>
    </row>
    <row r="6" spans="1:6" ht="29.25" customHeight="1">
      <c r="A6" s="61"/>
      <c r="B6" s="496" t="s">
        <v>306</v>
      </c>
      <c r="C6" s="568" t="s">
        <v>307</v>
      </c>
      <c r="D6" s="574" t="s">
        <v>308</v>
      </c>
      <c r="E6" s="130" t="str">
        <f>IF(E24&gt;=0,"Tiesa","Netiesa")</f>
        <v>Netiesa</v>
      </c>
      <c r="F6" s="113" t="str">
        <f>IF(F24+eps&gt;=0,"Tiesa","Netiesa")</f>
        <v>Netiesa</v>
      </c>
    </row>
    <row r="7" spans="1:6" ht="29.25" customHeight="1">
      <c r="A7" s="61"/>
      <c r="B7" s="496"/>
      <c r="C7" s="569"/>
      <c r="D7" s="575"/>
      <c r="E7" s="93" t="str">
        <f>CONCATENATE(FIXED(E24,1),IF(E24&gt;= 0," ≥ "," &lt; "),FIXED(0,1))</f>
        <v>-0,1 &lt; 0,0</v>
      </c>
      <c r="F7" s="125" t="str">
        <f>CONCATENATE(FIXED(F24,1),IF(F24=eps&gt;= 0," ≥ "," &lt; "),FIXED(0,1))</f>
        <v>-0,1 ≥ 0,0</v>
      </c>
    </row>
    <row r="8" spans="1:6" ht="35.25" customHeight="1" thickBot="1">
      <c r="A8" s="61"/>
      <c r="B8" s="496"/>
      <c r="C8" s="86" t="s">
        <v>309</v>
      </c>
      <c r="D8" s="576"/>
      <c r="E8" s="92" t="str">
        <f>IF(E6="Tiesa","True","False")</f>
        <v>False</v>
      </c>
      <c r="F8" s="115" t="str">
        <f>IF(F6="Tiesa","True","False")</f>
        <v>False</v>
      </c>
    </row>
    <row r="9" spans="1:6" ht="21.75" customHeight="1">
      <c r="A9" s="61"/>
      <c r="B9" s="496"/>
      <c r="C9" s="577" t="s">
        <v>310</v>
      </c>
      <c r="D9" s="578"/>
      <c r="E9" s="131" t="str">
        <f>IF(E6="Netiesa","Netenkinama","Tenkinama")</f>
        <v>Netenkinama</v>
      </c>
      <c r="F9" s="126" t="str">
        <f>IF(F6="Netiesa","Netenkinama","Tenkinama")</f>
        <v>Netenkinama</v>
      </c>
    </row>
    <row r="10" spans="1:6" ht="21.75" customHeight="1" thickBot="1">
      <c r="A10" s="61"/>
      <c r="B10" s="497"/>
      <c r="C10" s="570" t="s">
        <v>311</v>
      </c>
      <c r="D10" s="571"/>
      <c r="E10" s="132" t="str">
        <f>IF(E9="Tenkinama","Valid","Invalid ")</f>
        <v xml:space="preserve">Invalid </v>
      </c>
      <c r="F10" s="127" t="str">
        <f>IF(F9="Tenkinama","Valid","Invalid ")</f>
        <v xml:space="preserve">Invalid </v>
      </c>
    </row>
    <row r="11" spans="1:6" ht="17.45" customHeight="1">
      <c r="A11" s="61"/>
      <c r="B11" s="496" t="s">
        <v>312</v>
      </c>
      <c r="C11" s="572" t="s">
        <v>313</v>
      </c>
      <c r="D11" s="476" t="s">
        <v>314</v>
      </c>
      <c r="E11" s="130" t="str">
        <f>IF(E21+eps&lt;0, "Tiesa","Netiesa")</f>
        <v>Tiesa</v>
      </c>
      <c r="F11" s="113" t="str">
        <f>IF(F21+eps&lt;0,"Tiesa","Netiesa")</f>
        <v>Tiesa</v>
      </c>
    </row>
    <row r="12" spans="1:6" ht="38.25" customHeight="1">
      <c r="A12" s="61"/>
      <c r="B12" s="496"/>
      <c r="C12" s="573"/>
      <c r="D12" s="560"/>
      <c r="E12" s="133" t="str">
        <f>CONCATENATE(FIXED(E21,1),IF(E21+eps&lt;0," &lt; "," ≥ "),FIXED(0,1))</f>
        <v>-1,0 &lt; 0,0</v>
      </c>
      <c r="F12" s="114" t="str">
        <f>CONCATENATE(FIXED(F21,1),IF(F21+eps&lt;0," &lt; "," ≥ "),FIXED(0,1))</f>
        <v>-0,1 &lt; 0,0</v>
      </c>
    </row>
    <row r="13" spans="1:6" ht="21" customHeight="1" thickBot="1">
      <c r="A13" s="61"/>
      <c r="B13" s="496"/>
      <c r="C13" s="573"/>
      <c r="D13" s="560"/>
      <c r="E13" s="134" t="str">
        <f>IF(E11="Tiesa","True","False")</f>
        <v>True</v>
      </c>
      <c r="F13" s="128" t="str">
        <f>IF(F11="Tiesa","True","False")</f>
        <v>True</v>
      </c>
    </row>
    <row r="14" spans="1:6" ht="18.75" customHeight="1">
      <c r="A14" s="61"/>
      <c r="B14" s="496"/>
      <c r="C14" s="558" t="s">
        <v>315</v>
      </c>
      <c r="D14" s="560" t="s">
        <v>316</v>
      </c>
      <c r="E14" s="135" t="str">
        <f>IF(OR((E21&gt;=0)*(E22&gt;=0),(E21&gt;=0)*(E22&gt;=E23)),"Tiesa","Netiesa")</f>
        <v>Netiesa</v>
      </c>
      <c r="F14" s="113" t="str">
        <f>IF(OR((F21&gt;=0)*(F22&gt;=0),(F21&gt;=0)*(F22&gt;=F23)),"Tiesa","Netiesa")</f>
        <v>Netiesa</v>
      </c>
    </row>
    <row r="15" spans="1:6" ht="47.25" customHeight="1">
      <c r="A15" s="61"/>
      <c r="B15" s="496"/>
      <c r="C15" s="558"/>
      <c r="D15" s="560"/>
      <c r="E15" s="93" t="str">
        <f>CONCATENATE(FIXED(E21,1),,IF(E21&lt;0," &lt; "," ≥ "),FIXED(0,1), " &amp;
","(",
 FIXED(E22,1),IF(E22&gt;=E23," ≥ "," &lt; "), FIXED(E23,1), " arba / or ",FIXED(E22,1),IF(E22&lt;0," &lt; "," ≥ "),FIXED(0,1),")")</f>
        <v>-1,0 &lt; 0,0 &amp;
(1,3 &lt; 1,4 arba / or 1,3 ≥ 0,0)</v>
      </c>
      <c r="F15" s="114" t="str">
        <f>CONCATENATE(FIXED(F21,1),,IF(F21&lt;0," &lt; "," ≥ "),FIXED(0,1), " &amp;
","(", FIXED(F22,1),IF(F22&gt;=F23," ≥ "," &lt; "), FIXED(F23,1), " arba / or ",FIXED(F22,1),IF(F22&lt;0," &lt; "," ≥ "),FIXED(0,1),")")</f>
        <v>-0,1 &lt; 0,0 &amp;
(1,1 &lt; 1,2 arba / or 1,1 ≥ 0,0)</v>
      </c>
    </row>
    <row r="16" spans="1:6" ht="18" customHeight="1" thickBot="1">
      <c r="A16" s="61"/>
      <c r="B16" s="496"/>
      <c r="C16" s="559"/>
      <c r="D16" s="561"/>
      <c r="E16" s="92" t="str">
        <f>IF(E14="Tiesa","True","False")</f>
        <v>False</v>
      </c>
      <c r="F16" s="107" t="str">
        <f>IF(F14="Tiesa","True","False")</f>
        <v>False</v>
      </c>
    </row>
    <row r="17" spans="1:8" ht="21" customHeight="1">
      <c r="A17" s="61"/>
      <c r="B17" s="496"/>
      <c r="C17" s="564" t="s">
        <v>57</v>
      </c>
      <c r="D17" s="565"/>
      <c r="E17" s="131" t="str">
        <f>IF(OR(E11="Tiesa",E14="Tiesa"),"Tenkinama","Netenkinama")</f>
        <v>Tenkinama</v>
      </c>
      <c r="F17" s="126" t="str">
        <f>IF(OR(F11="Tiesa",F14="Tiesa"),"Tenkinama","Netenkinama")</f>
        <v>Tenkinama</v>
      </c>
    </row>
    <row r="18" spans="1:8" ht="21" customHeight="1" thickBot="1">
      <c r="A18" s="61"/>
      <c r="B18" s="497"/>
      <c r="C18" s="556" t="s">
        <v>317</v>
      </c>
      <c r="D18" s="557"/>
      <c r="E18" s="132" t="str">
        <f>IF(E17="Tenkinama","Valid","Invalid ")</f>
        <v>Valid</v>
      </c>
      <c r="F18" s="127" t="str">
        <f>IF(F17="Tenkinama","Valid","Invalid ")</f>
        <v>Valid</v>
      </c>
    </row>
    <row r="19" spans="1:8" ht="15" thickBot="1">
      <c r="B19" s="20"/>
      <c r="C19" s="179" t="s">
        <v>318</v>
      </c>
      <c r="D19" s="216"/>
      <c r="E19" s="216"/>
      <c r="F19" s="216"/>
      <c r="H19" s="27"/>
    </row>
    <row r="20" spans="1:8" ht="15.75" thickTop="1" thickBot="1">
      <c r="B20" s="20"/>
      <c r="C20" s="182" t="s">
        <v>319</v>
      </c>
      <c r="D20" s="183" t="s">
        <v>211</v>
      </c>
      <c r="E20" s="472">
        <v>2025</v>
      </c>
      <c r="F20" s="473"/>
      <c r="H20" s="27"/>
    </row>
    <row r="21" spans="1:8" ht="15" thickBot="1">
      <c r="B21" s="20"/>
      <c r="C21" s="20"/>
      <c r="D21" s="183" t="s">
        <v>215</v>
      </c>
      <c r="E21" s="157">
        <f>'2. Macro'!M20</f>
        <v>-1.0216612779306966</v>
      </c>
      <c r="F21" s="158">
        <f>'2. Macro'!M19</f>
        <v>-8.7686415898280412E-2</v>
      </c>
      <c r="H21" s="27"/>
    </row>
    <row r="22" spans="1:8" ht="19.5" thickBot="1">
      <c r="B22" s="20"/>
      <c r="C22" s="20"/>
      <c r="D22" s="183" t="s">
        <v>320</v>
      </c>
      <c r="E22" s="157">
        <f>'3. GGbudget'!F31</f>
        <v>1.2737987626024336</v>
      </c>
      <c r="F22" s="158">
        <f>'3. GGbudget'!H31</f>
        <v>1.1232862053453865</v>
      </c>
      <c r="H22" s="27"/>
    </row>
    <row r="23" spans="1:8" ht="19.5" thickBot="1">
      <c r="B23" s="20"/>
      <c r="C23" s="20"/>
      <c r="D23" s="183" t="s">
        <v>321</v>
      </c>
      <c r="E23" s="157">
        <f>'3. GGbudget'!E31</f>
        <v>1.3914671844322273</v>
      </c>
      <c r="F23" s="158">
        <f>'3. GGbudget'!G31</f>
        <v>1.2176729805952051</v>
      </c>
      <c r="G23" s="13"/>
      <c r="H23" s="27"/>
    </row>
    <row r="24" spans="1:8" ht="19.5" thickBot="1">
      <c r="B24" s="20"/>
      <c r="C24" s="20"/>
      <c r="D24" s="183" t="s">
        <v>322</v>
      </c>
      <c r="E24" s="159">
        <f>'3. GGbudget'!F32</f>
        <v>-6.5227587519568905E-2</v>
      </c>
      <c r="F24" s="160">
        <f>'3. GGbudget'!H32</f>
        <v>-0.10966862322869966</v>
      </c>
      <c r="H24" s="6"/>
    </row>
    <row r="25" spans="1:8" ht="15.75" thickTop="1" thickBot="1">
      <c r="B25" s="20"/>
      <c r="C25" s="20"/>
      <c r="D25" s="183" t="s">
        <v>61</v>
      </c>
      <c r="E25" s="183"/>
      <c r="F25" s="211"/>
      <c r="G25" s="37" t="s">
        <v>323</v>
      </c>
      <c r="H25" s="6"/>
    </row>
    <row r="26" spans="1:8" ht="15.75" thickTop="1" thickBot="1">
      <c r="B26" s="20"/>
      <c r="C26" s="20"/>
      <c r="D26" s="183" t="s">
        <v>63</v>
      </c>
      <c r="E26" s="566" t="s">
        <v>37</v>
      </c>
      <c r="F26" s="567"/>
      <c r="G26" s="37" t="s">
        <v>64</v>
      </c>
      <c r="H26" s="6"/>
    </row>
    <row r="27" spans="1:8" ht="15" thickBot="1">
      <c r="B27" s="20"/>
      <c r="C27" s="20"/>
      <c r="D27" s="183" t="s">
        <v>217</v>
      </c>
      <c r="E27" s="562" t="s">
        <v>38</v>
      </c>
      <c r="F27" s="563"/>
      <c r="G27" s="37" t="s">
        <v>218</v>
      </c>
    </row>
    <row r="28" spans="1:8" ht="15" thickTop="1">
      <c r="B28" s="20"/>
      <c r="C28" s="20"/>
      <c r="D28" s="20"/>
      <c r="E28" s="183"/>
      <c r="F28" s="20"/>
    </row>
    <row r="29" spans="1:8">
      <c r="B29" s="20"/>
      <c r="C29" s="20"/>
      <c r="D29" s="20"/>
      <c r="E29" s="183"/>
      <c r="F29" s="55"/>
    </row>
    <row r="30" spans="1:8">
      <c r="B30" s="20"/>
      <c r="C30" s="20"/>
      <c r="D30" s="20"/>
      <c r="E30" s="183"/>
      <c r="F30" s="55"/>
    </row>
    <row r="31" spans="1:8">
      <c r="B31" s="20"/>
      <c r="C31" s="20"/>
      <c r="D31" s="20"/>
      <c r="E31" s="20"/>
      <c r="F31" s="20"/>
    </row>
    <row r="32" spans="1:8">
      <c r="B32" s="20"/>
      <c r="C32" s="20"/>
      <c r="D32" s="20"/>
      <c r="E32" s="20"/>
      <c r="F32" s="20"/>
    </row>
    <row r="33" spans="2:6">
      <c r="B33" s="20"/>
      <c r="C33" s="20"/>
      <c r="D33" s="20"/>
      <c r="E33" s="20"/>
      <c r="F33" s="20"/>
    </row>
    <row r="34" spans="2:6">
      <c r="B34" s="20"/>
      <c r="C34" s="20"/>
      <c r="D34" s="20"/>
      <c r="E34" s="20"/>
      <c r="F34" s="20"/>
    </row>
  </sheetData>
  <mergeCells count="19">
    <mergeCell ref="E27:F27"/>
    <mergeCell ref="C17:D17"/>
    <mergeCell ref="E26:F26"/>
    <mergeCell ref="E20:F20"/>
    <mergeCell ref="C6:C7"/>
    <mergeCell ref="C10:D10"/>
    <mergeCell ref="C11:C13"/>
    <mergeCell ref="D11:D13"/>
    <mergeCell ref="D6:D8"/>
    <mergeCell ref="C9:D9"/>
    <mergeCell ref="B1:C1"/>
    <mergeCell ref="B3:F3"/>
    <mergeCell ref="E4:F4"/>
    <mergeCell ref="B5:D5"/>
    <mergeCell ref="C18:D18"/>
    <mergeCell ref="B11:B18"/>
    <mergeCell ref="C14:C16"/>
    <mergeCell ref="D14:D16"/>
    <mergeCell ref="B6:B10"/>
  </mergeCells>
  <hyperlinks>
    <hyperlink ref="B1" location="Content!A1" display="↖ atgal į turinį" xr:uid="{B71953B6-330D-4ED7-8079-C38394BB8B23}"/>
    <hyperlink ref="B1:C1" location="Content!A1" display="↖ atgal į turinį " xr:uid="{BDD87164-81F1-4FEB-8E1C-26DB6BF719FB}"/>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6" id="{7768F42C-F4EB-4B1C-AD42-D278E6CB666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E6</xm:sqref>
        </x14:conditionalFormatting>
        <x14:conditionalFormatting xmlns:xm="http://schemas.microsoft.com/office/excel/2006/main">
          <x14:cfRule type="iconSet" priority="12" id="{B8369092-41EC-4A9A-AF93-4D2E1F497EF4}">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E11</xm:sqref>
        </x14:conditionalFormatting>
        <x14:conditionalFormatting xmlns:xm="http://schemas.microsoft.com/office/excel/2006/main">
          <x14:cfRule type="iconSet" priority="10" id="{9F7BAB54-E851-4C5F-AA9A-DD4B1E7D0D8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E14</xm:sqref>
        </x14:conditionalFormatting>
        <x14:conditionalFormatting xmlns:xm="http://schemas.microsoft.com/office/excel/2006/main">
          <x14:cfRule type="iconSet" priority="5" id="{D1789F80-749D-467A-9481-C2282EB8BB01}">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F6</xm:sqref>
        </x14:conditionalFormatting>
        <x14:conditionalFormatting xmlns:xm="http://schemas.microsoft.com/office/excel/2006/main">
          <x14:cfRule type="iconSet" priority="1" id="{BB5EF5DE-FA95-491C-BF0F-28C77E54FF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F8</xm:sqref>
        </x14:conditionalFormatting>
        <x14:conditionalFormatting xmlns:xm="http://schemas.microsoft.com/office/excel/2006/main">
          <x14:cfRule type="iconSet" priority="11" id="{022929F0-4CC2-4A83-827E-3A78B143D8BA}">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xm:sqref>
        </x14:conditionalFormatting>
        <x14:conditionalFormatting xmlns:xm="http://schemas.microsoft.com/office/excel/2006/main">
          <x14:cfRule type="iconSet" priority="9" id="{0CE319AF-D3E6-4488-8C18-F7FB9A55CB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D6BFA-57F5-469D-BE27-2B3E8F71571D}">
  <sheetPr>
    <tabColor theme="1" tint="0.499984740745262"/>
  </sheetPr>
  <dimension ref="A1:AE39"/>
  <sheetViews>
    <sheetView showGridLines="0" showRowColHeaders="0" topLeftCell="A5" zoomScale="60" zoomScaleNormal="60" workbookViewId="0">
      <selection activeCell="AJ13" sqref="AJ13"/>
    </sheetView>
  </sheetViews>
  <sheetFormatPr defaultColWidth="10" defaultRowHeight="14.25"/>
  <cols>
    <col min="1" max="1" width="3.7109375" style="1" customWidth="1"/>
    <col min="2" max="2" width="58" style="1" customWidth="1"/>
    <col min="3" max="4" width="10.5703125" style="1" customWidth="1"/>
    <col min="5" max="21" width="10.85546875" style="1" customWidth="1"/>
    <col min="22" max="22" width="11.7109375" style="1" customWidth="1"/>
    <col min="23" max="23" width="12.42578125" style="1" customWidth="1"/>
    <col min="24" max="16384" width="10" style="1"/>
  </cols>
  <sheetData>
    <row r="1" spans="1:31">
      <c r="A1" s="190"/>
      <c r="B1" s="498" t="s">
        <v>32</v>
      </c>
      <c r="C1" s="498"/>
      <c r="D1" s="219"/>
      <c r="E1" s="219"/>
      <c r="F1" s="219"/>
      <c r="G1" s="219"/>
      <c r="H1" s="219"/>
      <c r="I1" s="219"/>
      <c r="J1" s="219"/>
      <c r="K1" s="219"/>
      <c r="L1" s="219"/>
      <c r="M1" s="219"/>
      <c r="N1" s="219"/>
      <c r="O1" s="219"/>
      <c r="P1" s="219"/>
      <c r="Q1" s="219"/>
      <c r="R1" s="219"/>
      <c r="S1" s="219"/>
      <c r="T1" s="219"/>
      <c r="U1" s="219"/>
      <c r="V1" s="219"/>
      <c r="W1" s="219"/>
    </row>
    <row r="2" spans="1:31" ht="15" thickBot="1">
      <c r="A2" s="191" t="s">
        <v>33</v>
      </c>
      <c r="B2" s="20"/>
      <c r="C2" s="20"/>
      <c r="D2" s="20"/>
      <c r="E2" s="20"/>
      <c r="F2" s="20"/>
      <c r="G2" s="20"/>
      <c r="H2" s="20"/>
      <c r="I2" s="20"/>
      <c r="J2" s="20"/>
      <c r="K2" s="20"/>
      <c r="L2" s="20"/>
      <c r="M2" s="20"/>
      <c r="N2" s="20"/>
      <c r="O2" s="20"/>
      <c r="P2" s="20"/>
      <c r="Q2" s="20"/>
      <c r="R2" s="20"/>
      <c r="S2" s="20"/>
      <c r="T2" s="20"/>
      <c r="U2" s="20"/>
      <c r="V2" s="20"/>
      <c r="W2" s="20"/>
    </row>
    <row r="3" spans="1:31" ht="49.5" customHeight="1" thickBot="1">
      <c r="A3" s="181"/>
      <c r="B3" s="585" t="s">
        <v>324</v>
      </c>
      <c r="C3" s="586"/>
      <c r="D3" s="586"/>
      <c r="E3" s="586"/>
      <c r="F3" s="586"/>
      <c r="G3" s="586"/>
      <c r="H3" s="586"/>
      <c r="I3" s="586"/>
      <c r="J3" s="586"/>
      <c r="K3" s="586"/>
      <c r="L3" s="586"/>
      <c r="M3" s="586"/>
      <c r="N3" s="586"/>
      <c r="O3" s="586"/>
      <c r="P3" s="586"/>
      <c r="Q3" s="586"/>
      <c r="R3" s="586"/>
      <c r="S3" s="586"/>
      <c r="T3" s="586"/>
      <c r="U3" s="586"/>
      <c r="V3" s="586"/>
      <c r="W3" s="586"/>
      <c r="X3" s="586"/>
      <c r="Y3" s="586"/>
      <c r="Z3" s="586"/>
      <c r="AA3" s="586"/>
      <c r="AB3" s="586"/>
      <c r="AC3" s="586"/>
      <c r="AD3" s="586"/>
      <c r="AE3" s="587"/>
    </row>
    <row r="4" spans="1:31" ht="41.25" customHeight="1" thickBot="1">
      <c r="A4" s="20"/>
      <c r="B4" s="249" t="s">
        <v>325</v>
      </c>
      <c r="C4" s="248"/>
      <c r="D4" s="579">
        <v>2016</v>
      </c>
      <c r="E4" s="580"/>
      <c r="F4" s="579">
        <v>2017</v>
      </c>
      <c r="G4" s="581"/>
      <c r="H4" s="579">
        <v>2018</v>
      </c>
      <c r="I4" s="581"/>
      <c r="J4" s="580"/>
      <c r="K4" s="579">
        <v>2019</v>
      </c>
      <c r="L4" s="581"/>
      <c r="M4" s="580"/>
      <c r="N4" s="579">
        <v>2020</v>
      </c>
      <c r="O4" s="581"/>
      <c r="P4" s="580"/>
      <c r="Q4" s="579">
        <v>2021</v>
      </c>
      <c r="R4" s="581"/>
      <c r="S4" s="580"/>
      <c r="T4" s="579">
        <v>2022</v>
      </c>
      <c r="U4" s="581"/>
      <c r="V4" s="580"/>
      <c r="W4" s="579">
        <v>2023</v>
      </c>
      <c r="X4" s="581"/>
      <c r="Y4" s="580"/>
      <c r="Z4" s="529">
        <v>2024</v>
      </c>
      <c r="AA4" s="529"/>
      <c r="AB4" s="529"/>
      <c r="AC4" s="582">
        <v>2025</v>
      </c>
      <c r="AD4" s="583"/>
      <c r="AE4" s="584"/>
    </row>
    <row r="5" spans="1:31" ht="61.15" customHeight="1" thickBot="1">
      <c r="A5" s="20"/>
      <c r="B5" s="220"/>
      <c r="C5" s="221" t="s">
        <v>326</v>
      </c>
      <c r="D5" s="222" t="s">
        <v>327</v>
      </c>
      <c r="E5" s="222" t="s">
        <v>328</v>
      </c>
      <c r="F5" s="222" t="s">
        <v>327</v>
      </c>
      <c r="G5" s="222" t="s">
        <v>329</v>
      </c>
      <c r="H5" s="222" t="s">
        <v>327</v>
      </c>
      <c r="I5" s="222" t="s">
        <v>329</v>
      </c>
      <c r="J5" s="222" t="s">
        <v>328</v>
      </c>
      <c r="K5" s="222" t="s">
        <v>327</v>
      </c>
      <c r="L5" s="222" t="s">
        <v>329</v>
      </c>
      <c r="M5" s="222" t="s">
        <v>328</v>
      </c>
      <c r="N5" s="222" t="s">
        <v>327</v>
      </c>
      <c r="O5" s="222" t="s">
        <v>329</v>
      </c>
      <c r="P5" s="222" t="s">
        <v>328</v>
      </c>
      <c r="Q5" s="222" t="s">
        <v>327</v>
      </c>
      <c r="R5" s="222" t="s">
        <v>329</v>
      </c>
      <c r="S5" s="222" t="s">
        <v>328</v>
      </c>
      <c r="T5" s="222" t="s">
        <v>327</v>
      </c>
      <c r="U5" s="222" t="s">
        <v>330</v>
      </c>
      <c r="V5" s="222" t="s">
        <v>331</v>
      </c>
      <c r="W5" s="222" t="s">
        <v>332</v>
      </c>
      <c r="X5" s="222" t="s">
        <v>329</v>
      </c>
      <c r="Y5" s="222" t="s">
        <v>331</v>
      </c>
      <c r="Z5" s="222" t="s">
        <v>332</v>
      </c>
      <c r="AA5" s="222" t="s">
        <v>329</v>
      </c>
      <c r="AB5" s="222" t="s">
        <v>328</v>
      </c>
      <c r="AC5" s="222" t="s">
        <v>332</v>
      </c>
      <c r="AD5" s="222" t="s">
        <v>329</v>
      </c>
      <c r="AE5" s="364" t="s">
        <v>328</v>
      </c>
    </row>
    <row r="6" spans="1:31" ht="25.15" customHeight="1" thickBot="1">
      <c r="A6" s="20"/>
      <c r="B6" s="223" t="s">
        <v>333</v>
      </c>
      <c r="C6" s="224"/>
      <c r="D6" s="225">
        <v>42321</v>
      </c>
      <c r="E6" s="225">
        <v>43054</v>
      </c>
      <c r="F6" s="225">
        <v>42689</v>
      </c>
      <c r="G6" s="225">
        <v>43054</v>
      </c>
      <c r="H6" s="225">
        <v>43054</v>
      </c>
      <c r="I6" s="225">
        <v>43412</v>
      </c>
      <c r="J6" s="225">
        <v>43599</v>
      </c>
      <c r="K6" s="225">
        <v>43412</v>
      </c>
      <c r="L6" s="225">
        <v>43781</v>
      </c>
      <c r="M6" s="225">
        <v>43966</v>
      </c>
      <c r="N6" s="225">
        <v>43781</v>
      </c>
      <c r="O6" s="225">
        <v>44145</v>
      </c>
      <c r="P6" s="225">
        <v>44328</v>
      </c>
      <c r="Q6" s="225">
        <v>44145</v>
      </c>
      <c r="R6" s="225">
        <v>44508</v>
      </c>
      <c r="S6" s="225">
        <v>44686</v>
      </c>
      <c r="T6" s="226">
        <v>44686</v>
      </c>
      <c r="U6" s="226">
        <f>W6</f>
        <v>44862</v>
      </c>
      <c r="V6" s="226">
        <v>45054</v>
      </c>
      <c r="W6" s="227">
        <v>44862</v>
      </c>
      <c r="X6" s="227">
        <v>45226</v>
      </c>
      <c r="Y6" s="226">
        <v>45434</v>
      </c>
      <c r="Z6" s="227">
        <v>45226</v>
      </c>
      <c r="AA6" s="227">
        <v>45590</v>
      </c>
      <c r="AB6" s="227">
        <v>45811</v>
      </c>
      <c r="AC6" s="270" t="s">
        <v>334</v>
      </c>
      <c r="AD6" s="270">
        <v>45967</v>
      </c>
      <c r="AE6" s="270">
        <v>46157</v>
      </c>
    </row>
    <row r="7" spans="1:31" ht="14.25" customHeight="1">
      <c r="A7" s="20"/>
      <c r="B7" s="228" t="s">
        <v>185</v>
      </c>
      <c r="C7" s="186"/>
      <c r="D7" s="590" t="str">
        <f>"Ne"</f>
        <v>Ne</v>
      </c>
      <c r="E7" s="591"/>
      <c r="F7" s="590" t="str">
        <f>"Ne"</f>
        <v>Ne</v>
      </c>
      <c r="G7" s="591"/>
      <c r="H7" s="590" t="str">
        <f>"Ne"</f>
        <v>Ne</v>
      </c>
      <c r="I7" s="591"/>
      <c r="J7" s="592"/>
      <c r="K7" s="590" t="str">
        <f>"Ne"</f>
        <v>Ne</v>
      </c>
      <c r="L7" s="591"/>
      <c r="M7" s="592"/>
      <c r="N7" s="590" t="str">
        <f>"Taip"</f>
        <v>Taip</v>
      </c>
      <c r="O7" s="591"/>
      <c r="P7" s="592"/>
      <c r="Q7" s="590" t="str">
        <f>"Taip"</f>
        <v>Taip</v>
      </c>
      <c r="R7" s="591"/>
      <c r="S7" s="592"/>
      <c r="T7" s="590" t="str">
        <f>"Taip"</f>
        <v>Taip</v>
      </c>
      <c r="U7" s="591"/>
      <c r="V7" s="592"/>
      <c r="W7" s="596" t="str">
        <f>"Taip"</f>
        <v>Taip</v>
      </c>
      <c r="X7" s="597"/>
      <c r="Y7" s="598"/>
      <c r="Z7" s="590" t="str">
        <f>"Taip"</f>
        <v>Taip</v>
      </c>
      <c r="AA7" s="591"/>
      <c r="AB7" s="592"/>
      <c r="AC7" s="590" t="str">
        <f>"Ne"</f>
        <v>Ne</v>
      </c>
      <c r="AD7" s="591"/>
      <c r="AE7" s="592"/>
    </row>
    <row r="8" spans="1:31" ht="14.25" customHeight="1" thickBot="1">
      <c r="A8" s="20"/>
      <c r="B8" s="229" t="s">
        <v>40</v>
      </c>
      <c r="C8" s="187"/>
      <c r="D8" s="593" t="str">
        <f>"No"</f>
        <v>No</v>
      </c>
      <c r="E8" s="594"/>
      <c r="F8" s="593" t="str">
        <f>"No"</f>
        <v>No</v>
      </c>
      <c r="G8" s="594"/>
      <c r="H8" s="593" t="str">
        <f>"No"</f>
        <v>No</v>
      </c>
      <c r="I8" s="594"/>
      <c r="J8" s="595"/>
      <c r="K8" s="593" t="str">
        <f>"No"</f>
        <v>No</v>
      </c>
      <c r="L8" s="594"/>
      <c r="M8" s="595"/>
      <c r="N8" s="593" t="str">
        <f>"Yes"</f>
        <v>Yes</v>
      </c>
      <c r="O8" s="594"/>
      <c r="P8" s="595"/>
      <c r="Q8" s="593" t="str">
        <f>"Yes"</f>
        <v>Yes</v>
      </c>
      <c r="R8" s="594"/>
      <c r="S8" s="595"/>
      <c r="T8" s="593" t="str">
        <f>"Yes"</f>
        <v>Yes</v>
      </c>
      <c r="U8" s="594"/>
      <c r="V8" s="595"/>
      <c r="W8" s="593" t="str">
        <f>"Yes"</f>
        <v>Yes</v>
      </c>
      <c r="X8" s="594"/>
      <c r="Y8" s="595"/>
      <c r="Z8" s="593" t="str">
        <f>"Yes"</f>
        <v>Yes</v>
      </c>
      <c r="AA8" s="594"/>
      <c r="AB8" s="595"/>
      <c r="AC8" s="593" t="str">
        <f>"No"</f>
        <v>No</v>
      </c>
      <c r="AD8" s="594"/>
      <c r="AE8" s="595"/>
    </row>
    <row r="9" spans="1:31" ht="14.25" customHeight="1" thickBot="1">
      <c r="A9" s="20"/>
      <c r="B9" s="230" t="s">
        <v>335</v>
      </c>
      <c r="C9" s="231" t="s">
        <v>37</v>
      </c>
      <c r="D9" s="254">
        <v>-0.3</v>
      </c>
      <c r="E9" s="254">
        <v>0.6</v>
      </c>
      <c r="F9" s="254">
        <v>1.4</v>
      </c>
      <c r="G9" s="254">
        <v>1.7</v>
      </c>
      <c r="H9" s="254">
        <v>1.6</v>
      </c>
      <c r="I9" s="254">
        <v>2.4</v>
      </c>
      <c r="J9" s="254">
        <v>2.9</v>
      </c>
      <c r="K9" s="254">
        <v>1.5</v>
      </c>
      <c r="L9" s="254">
        <v>3.5</v>
      </c>
      <c r="M9" s="254">
        <v>4</v>
      </c>
      <c r="N9" s="254">
        <v>2.2000000000000002</v>
      </c>
      <c r="O9" s="254">
        <v>-1.1000000000000001</v>
      </c>
      <c r="P9" s="254">
        <v>-0.6</v>
      </c>
      <c r="Q9" s="254">
        <v>-1.3</v>
      </c>
      <c r="R9" s="254">
        <v>-0.7</v>
      </c>
      <c r="S9" s="254">
        <v>0.4</v>
      </c>
      <c r="T9" s="254">
        <v>-0.7</v>
      </c>
      <c r="U9" s="254">
        <v>-1</v>
      </c>
      <c r="V9" s="254">
        <v>-0.4</v>
      </c>
      <c r="W9" s="254">
        <v>-2.4</v>
      </c>
      <c r="X9" s="254">
        <v>-1.9237921079299225</v>
      </c>
      <c r="Y9" s="254">
        <v>-2</v>
      </c>
      <c r="Z9" s="254">
        <v>-2.2530986878562032</v>
      </c>
      <c r="AA9" s="254">
        <v>-1.9985156346188804</v>
      </c>
      <c r="AB9" s="254">
        <v>-2.0509821231029957</v>
      </c>
      <c r="AC9" s="254">
        <v>-2.0708332933234486</v>
      </c>
      <c r="AD9" s="254">
        <v>-1.7530872135771425</v>
      </c>
      <c r="AE9" s="365">
        <v>-1.0216612779306966</v>
      </c>
    </row>
    <row r="10" spans="1:31" ht="14.25" customHeight="1" thickBot="1">
      <c r="A10" s="20"/>
      <c r="B10" s="232" t="s">
        <v>336</v>
      </c>
      <c r="C10" s="285" t="s">
        <v>38</v>
      </c>
      <c r="D10" s="284">
        <v>0.9</v>
      </c>
      <c r="E10" s="284">
        <v>0.6</v>
      </c>
      <c r="F10" s="284">
        <v>0.9</v>
      </c>
      <c r="G10" s="284">
        <v>1.6</v>
      </c>
      <c r="H10" s="284">
        <v>2.4</v>
      </c>
      <c r="I10" s="284">
        <v>2.2999999999999998</v>
      </c>
      <c r="J10" s="284">
        <v>1.8</v>
      </c>
      <c r="K10" s="284">
        <v>2.2999999999999998</v>
      </c>
      <c r="L10" s="284">
        <v>3.4</v>
      </c>
      <c r="M10" s="284">
        <v>3.5</v>
      </c>
      <c r="N10" s="284">
        <v>2.7</v>
      </c>
      <c r="O10" s="284">
        <v>-0.6</v>
      </c>
      <c r="P10" s="284">
        <v>-0.35</v>
      </c>
      <c r="Q10" s="284">
        <v>-0.4</v>
      </c>
      <c r="R10" s="284">
        <v>0.3</v>
      </c>
      <c r="S10" s="284">
        <v>2.2000000000000002</v>
      </c>
      <c r="T10" s="284">
        <v>0.7</v>
      </c>
      <c r="U10" s="284">
        <v>0.3</v>
      </c>
      <c r="V10" s="284">
        <v>1.3</v>
      </c>
      <c r="W10" s="284">
        <v>-1.4</v>
      </c>
      <c r="X10" s="284">
        <v>-2.4837897115830843</v>
      </c>
      <c r="Y10" s="255">
        <v>-1.8</v>
      </c>
      <c r="Z10" s="284">
        <v>-4.139237694902187</v>
      </c>
      <c r="AA10" s="284">
        <v>-2.6962432359061594</v>
      </c>
      <c r="AB10" s="284">
        <v>-0.51209270146669317</v>
      </c>
      <c r="AC10" s="284">
        <v>-2.0958314030578462</v>
      </c>
      <c r="AD10" s="284">
        <v>-0.81825634856284024</v>
      </c>
      <c r="AE10" s="366">
        <v>-8.7686415898280412E-2</v>
      </c>
    </row>
    <row r="11" spans="1:31" ht="19.5" customHeight="1" thickBot="1">
      <c r="A11" s="20"/>
      <c r="B11" s="233" t="s">
        <v>337</v>
      </c>
      <c r="C11" s="277" t="s">
        <v>37</v>
      </c>
      <c r="D11" s="271"/>
      <c r="E11" s="234"/>
      <c r="F11" s="235"/>
      <c r="G11" s="272" t="s">
        <v>338</v>
      </c>
      <c r="H11" s="234"/>
      <c r="I11" s="234"/>
      <c r="J11" s="234"/>
      <c r="K11" s="234"/>
      <c r="L11" s="235"/>
      <c r="M11" s="235"/>
      <c r="N11" s="234"/>
      <c r="O11" s="236"/>
      <c r="P11" s="236"/>
      <c r="Q11" s="236"/>
      <c r="R11" s="236"/>
      <c r="S11" s="236"/>
      <c r="T11" s="236"/>
      <c r="U11" s="236"/>
      <c r="V11" s="236"/>
      <c r="W11" s="236"/>
      <c r="X11" s="236"/>
      <c r="Y11" s="236"/>
      <c r="Z11" s="236"/>
      <c r="AA11" s="236"/>
      <c r="AB11" s="287"/>
      <c r="AC11" s="236"/>
      <c r="AD11" s="287"/>
      <c r="AE11" s="292"/>
    </row>
    <row r="12" spans="1:31" ht="19.5" customHeight="1" thickBot="1">
      <c r="A12" s="20"/>
      <c r="B12" s="237" t="s">
        <v>339</v>
      </c>
      <c r="C12" s="286" t="s">
        <v>38</v>
      </c>
      <c r="D12" s="273"/>
      <c r="E12" s="278"/>
      <c r="F12" s="279"/>
      <c r="G12" s="279"/>
      <c r="H12" s="279"/>
      <c r="I12" s="279"/>
      <c r="J12" s="278"/>
      <c r="K12" s="279"/>
      <c r="L12" s="279"/>
      <c r="M12" s="279"/>
      <c r="N12" s="279"/>
      <c r="O12" s="280"/>
      <c r="P12" s="280"/>
      <c r="Q12" s="280"/>
      <c r="R12" s="280"/>
      <c r="S12" s="280"/>
      <c r="T12" s="280"/>
      <c r="U12" s="280"/>
      <c r="V12" s="280"/>
      <c r="W12" s="280"/>
      <c r="X12" s="280"/>
      <c r="Y12" s="280"/>
      <c r="Z12" s="280"/>
      <c r="AA12" s="280"/>
      <c r="AB12" s="288"/>
      <c r="AC12" s="280"/>
      <c r="AD12" s="288"/>
      <c r="AE12" s="362"/>
    </row>
    <row r="13" spans="1:31" ht="19.5" customHeight="1" thickBot="1">
      <c r="A13" s="20"/>
      <c r="B13" s="238" t="s">
        <v>340</v>
      </c>
      <c r="C13" s="277" t="s">
        <v>37</v>
      </c>
      <c r="D13" s="274"/>
      <c r="E13" s="281" t="s">
        <v>338</v>
      </c>
      <c r="F13" s="280"/>
      <c r="G13" s="280"/>
      <c r="H13" s="280"/>
      <c r="I13" s="280"/>
      <c r="J13" s="280"/>
      <c r="K13" s="280"/>
      <c r="L13" s="280"/>
      <c r="M13" s="280"/>
      <c r="N13" s="280"/>
      <c r="O13" s="280"/>
      <c r="P13" s="280"/>
      <c r="Q13" s="280"/>
      <c r="R13" s="280"/>
      <c r="S13" s="280"/>
      <c r="T13" s="280"/>
      <c r="U13" s="280"/>
      <c r="V13" s="280"/>
      <c r="W13" s="280"/>
      <c r="X13" s="280"/>
      <c r="Y13" s="280"/>
      <c r="Z13" s="280"/>
      <c r="AA13" s="280"/>
      <c r="AB13" s="288"/>
      <c r="AC13" s="280"/>
      <c r="AD13" s="288"/>
      <c r="AE13" s="362"/>
    </row>
    <row r="14" spans="1:31" ht="19.5" customHeight="1" thickBot="1">
      <c r="A14" s="20"/>
      <c r="B14" s="237" t="s">
        <v>341</v>
      </c>
      <c r="C14" s="286" t="s">
        <v>38</v>
      </c>
      <c r="D14" s="274"/>
      <c r="E14" s="281" t="s">
        <v>338</v>
      </c>
      <c r="F14" s="280"/>
      <c r="G14" s="281" t="s">
        <v>338</v>
      </c>
      <c r="H14" s="279"/>
      <c r="I14" s="282" t="s">
        <v>338</v>
      </c>
      <c r="J14" s="279"/>
      <c r="K14" s="280"/>
      <c r="L14" s="280"/>
      <c r="M14" s="280"/>
      <c r="N14" s="280"/>
      <c r="O14" s="280"/>
      <c r="P14" s="280"/>
      <c r="Q14" s="280"/>
      <c r="R14" s="280"/>
      <c r="S14" s="280"/>
      <c r="T14" s="280"/>
      <c r="U14" s="280"/>
      <c r="V14" s="280"/>
      <c r="W14" s="280"/>
      <c r="X14" s="280"/>
      <c r="Y14" s="280"/>
      <c r="Z14" s="280"/>
      <c r="AA14" s="280"/>
      <c r="AB14" s="288"/>
      <c r="AC14" s="280"/>
      <c r="AD14" s="288"/>
      <c r="AE14" s="362"/>
    </row>
    <row r="15" spans="1:31" ht="20.25" customHeight="1" thickBot="1">
      <c r="A15" s="20"/>
      <c r="B15" s="238" t="s">
        <v>310</v>
      </c>
      <c r="C15" s="277" t="s">
        <v>37</v>
      </c>
      <c r="D15" s="274"/>
      <c r="E15" s="280"/>
      <c r="F15" s="280"/>
      <c r="G15" s="280"/>
      <c r="H15" s="280"/>
      <c r="I15" s="280"/>
      <c r="J15" s="278"/>
      <c r="K15" s="278"/>
      <c r="L15" s="278"/>
      <c r="M15" s="279"/>
      <c r="N15" s="278"/>
      <c r="O15" s="279"/>
      <c r="P15" s="278"/>
      <c r="Q15" s="278"/>
      <c r="R15" s="278"/>
      <c r="S15" s="278"/>
      <c r="T15" s="278"/>
      <c r="U15" s="283"/>
      <c r="V15" s="278"/>
      <c r="W15" s="283"/>
      <c r="X15" s="283"/>
      <c r="Y15" s="283"/>
      <c r="Z15" s="283"/>
      <c r="AA15" s="283"/>
      <c r="AB15" s="289"/>
      <c r="AC15" s="283"/>
      <c r="AD15" s="368"/>
      <c r="AE15" s="367"/>
    </row>
    <row r="16" spans="1:31" ht="19.5" customHeight="1" thickBot="1">
      <c r="A16" s="20"/>
      <c r="B16" s="237" t="s">
        <v>311</v>
      </c>
      <c r="C16" s="286" t="s">
        <v>38</v>
      </c>
      <c r="D16" s="274"/>
      <c r="E16" s="280"/>
      <c r="F16" s="280"/>
      <c r="G16" s="280"/>
      <c r="H16" s="280"/>
      <c r="I16" s="280"/>
      <c r="J16" s="278"/>
      <c r="K16" s="278"/>
      <c r="L16" s="278"/>
      <c r="M16" s="279"/>
      <c r="N16" s="278"/>
      <c r="O16" s="279"/>
      <c r="P16" s="278"/>
      <c r="Q16" s="278"/>
      <c r="R16" s="278"/>
      <c r="S16" s="278"/>
      <c r="T16" s="278"/>
      <c r="U16" s="283"/>
      <c r="V16" s="278"/>
      <c r="W16" s="283"/>
      <c r="X16" s="283"/>
      <c r="Y16" s="283"/>
      <c r="Z16" s="283"/>
      <c r="AA16" s="283"/>
      <c r="AB16" s="289"/>
      <c r="AC16" s="283"/>
      <c r="AD16" s="335"/>
      <c r="AE16" s="367"/>
    </row>
    <row r="17" spans="1:31" ht="19.5" customHeight="1" thickBot="1">
      <c r="A17" s="20"/>
      <c r="B17" s="233" t="s">
        <v>57</v>
      </c>
      <c r="C17" s="277" t="s">
        <v>37</v>
      </c>
      <c r="D17" s="275" t="s">
        <v>338</v>
      </c>
      <c r="E17" s="282" t="s">
        <v>338</v>
      </c>
      <c r="F17" s="278"/>
      <c r="G17" s="278"/>
      <c r="H17" s="278"/>
      <c r="I17" s="278"/>
      <c r="J17" s="278"/>
      <c r="K17" s="278"/>
      <c r="L17" s="278"/>
      <c r="M17" s="278"/>
      <c r="N17" s="278"/>
      <c r="O17" s="278"/>
      <c r="P17" s="278"/>
      <c r="Q17" s="278"/>
      <c r="R17" s="278"/>
      <c r="S17" s="278"/>
      <c r="T17" s="278"/>
      <c r="U17" s="283"/>
      <c r="V17" s="278"/>
      <c r="W17" s="283"/>
      <c r="X17" s="283"/>
      <c r="Y17" s="283"/>
      <c r="Z17" s="283"/>
      <c r="AA17" s="283"/>
      <c r="AB17" s="289"/>
      <c r="AC17" s="283"/>
      <c r="AD17" s="289"/>
      <c r="AE17" s="360"/>
    </row>
    <row r="18" spans="1:31" ht="19.5" customHeight="1" thickBot="1">
      <c r="A18" s="20"/>
      <c r="B18" s="237" t="s">
        <v>317</v>
      </c>
      <c r="C18" s="286" t="s">
        <v>38</v>
      </c>
      <c r="D18" s="276" t="s">
        <v>338</v>
      </c>
      <c r="E18" s="239" t="s">
        <v>338</v>
      </c>
      <c r="F18" s="240"/>
      <c r="G18" s="240"/>
      <c r="H18" s="240"/>
      <c r="I18" s="240"/>
      <c r="J18" s="240"/>
      <c r="K18" s="240"/>
      <c r="L18" s="240"/>
      <c r="M18" s="240"/>
      <c r="N18" s="240"/>
      <c r="O18" s="240"/>
      <c r="P18" s="240"/>
      <c r="Q18" s="240"/>
      <c r="R18" s="240"/>
      <c r="S18" s="240"/>
      <c r="T18" s="240"/>
      <c r="U18" s="241"/>
      <c r="V18" s="240"/>
      <c r="W18" s="241"/>
      <c r="X18" s="241"/>
      <c r="Y18" s="241"/>
      <c r="Z18" s="241"/>
      <c r="AA18" s="241"/>
      <c r="AB18" s="290"/>
      <c r="AC18" s="241"/>
      <c r="AD18" s="290"/>
      <c r="AE18" s="361"/>
    </row>
    <row r="19" spans="1:31" ht="15.75" customHeight="1" thickBot="1">
      <c r="A19" s="20"/>
      <c r="B19" s="20"/>
      <c r="C19" s="471"/>
      <c r="D19" s="471"/>
      <c r="E19" s="471"/>
      <c r="F19" s="471"/>
      <c r="G19" s="471"/>
      <c r="H19" s="471"/>
      <c r="I19" s="471"/>
      <c r="J19" s="471"/>
      <c r="K19" s="471"/>
      <c r="L19" s="471"/>
      <c r="M19" s="471"/>
      <c r="N19" s="471"/>
      <c r="O19" s="471"/>
      <c r="P19" s="471"/>
      <c r="Q19" s="471"/>
      <c r="R19" s="471"/>
      <c r="S19" s="471"/>
      <c r="T19" s="471"/>
      <c r="U19" s="471"/>
      <c r="V19" s="471"/>
      <c r="W19" s="471"/>
    </row>
    <row r="20" spans="1:31">
      <c r="A20" s="20"/>
      <c r="B20" s="20"/>
      <c r="E20" s="204" t="s">
        <v>342</v>
      </c>
      <c r="F20" s="242"/>
      <c r="G20" s="243"/>
      <c r="H20" s="37" t="s">
        <v>343</v>
      </c>
      <c r="O20" s="182"/>
      <c r="P20" s="182"/>
      <c r="Q20" s="182"/>
      <c r="R20" s="182"/>
      <c r="S20" s="182"/>
      <c r="T20" s="182"/>
      <c r="U20" s="182"/>
      <c r="V20" s="182"/>
      <c r="W20" s="182"/>
    </row>
    <row r="21" spans="1:31">
      <c r="A21" s="20"/>
      <c r="B21" s="20"/>
      <c r="E21" s="204" t="s">
        <v>344</v>
      </c>
      <c r="F21" s="244"/>
      <c r="G21" s="245"/>
      <c r="H21" s="37" t="s">
        <v>345</v>
      </c>
      <c r="O21" s="20"/>
      <c r="P21" s="20"/>
      <c r="Q21" s="20"/>
      <c r="R21" s="20"/>
      <c r="S21" s="20"/>
    </row>
    <row r="22" spans="1:31">
      <c r="A22" s="20"/>
      <c r="B22" s="20"/>
      <c r="E22" s="204" t="s">
        <v>346</v>
      </c>
      <c r="F22" s="246"/>
      <c r="G22" s="247"/>
      <c r="H22" s="37" t="s">
        <v>347</v>
      </c>
      <c r="O22" s="20"/>
      <c r="P22" s="20"/>
      <c r="Q22" s="20"/>
      <c r="R22" s="20"/>
      <c r="S22" s="20"/>
    </row>
    <row r="23" spans="1:31" ht="15.75" customHeight="1" thickBot="1">
      <c r="A23" s="20"/>
      <c r="B23" s="20"/>
      <c r="E23" s="204" t="s">
        <v>348</v>
      </c>
      <c r="F23" s="588" t="s">
        <v>338</v>
      </c>
      <c r="G23" s="589"/>
      <c r="H23" s="37" t="s">
        <v>349</v>
      </c>
      <c r="O23" s="20"/>
      <c r="P23" s="20"/>
      <c r="Q23" s="20"/>
      <c r="R23" s="20"/>
      <c r="S23" s="20"/>
    </row>
    <row r="24" spans="1:31">
      <c r="A24" s="20"/>
      <c r="B24" s="20"/>
      <c r="E24" s="20"/>
      <c r="F24" s="20"/>
      <c r="G24" s="20"/>
      <c r="H24" s="20"/>
      <c r="L24" s="20"/>
      <c r="M24" s="20"/>
      <c r="N24" s="20"/>
      <c r="O24" s="20"/>
      <c r="P24" s="20"/>
      <c r="Q24" s="20"/>
      <c r="R24" s="20"/>
      <c r="S24" s="20"/>
    </row>
    <row r="25" spans="1:31" ht="15" thickBot="1">
      <c r="A25" s="20"/>
      <c r="B25" s="20"/>
      <c r="E25" s="183" t="s">
        <v>61</v>
      </c>
      <c r="F25" s="20"/>
      <c r="G25" s="20"/>
      <c r="H25" s="43" t="s">
        <v>62</v>
      </c>
      <c r="L25" s="20"/>
      <c r="M25" s="20"/>
      <c r="N25" s="20"/>
      <c r="O25" s="20"/>
      <c r="P25" s="20"/>
      <c r="Q25" s="20"/>
      <c r="R25" s="20"/>
      <c r="S25" s="20"/>
    </row>
    <row r="26" spans="1:31" ht="15.75" customHeight="1" thickBot="1">
      <c r="A26" s="20"/>
      <c r="B26" s="20"/>
      <c r="E26" s="183" t="s">
        <v>63</v>
      </c>
      <c r="F26" s="599" t="s">
        <v>37</v>
      </c>
      <c r="G26" s="600"/>
      <c r="H26" s="43" t="s">
        <v>64</v>
      </c>
      <c r="L26" s="20"/>
      <c r="M26" s="20"/>
      <c r="N26" s="20"/>
      <c r="O26" s="20"/>
      <c r="P26" s="20"/>
      <c r="Q26" s="20"/>
      <c r="R26" s="20"/>
      <c r="S26" s="20"/>
    </row>
    <row r="27" spans="1:31" ht="15" thickBot="1">
      <c r="A27" s="20"/>
      <c r="B27" s="20"/>
      <c r="C27" s="183"/>
      <c r="D27" s="183"/>
      <c r="E27" s="183" t="s">
        <v>217</v>
      </c>
      <c r="F27" s="463" t="s">
        <v>38</v>
      </c>
      <c r="G27" s="463"/>
      <c r="H27" s="37" t="s">
        <v>218</v>
      </c>
      <c r="I27" s="183"/>
      <c r="L27" s="20"/>
      <c r="M27" s="20"/>
      <c r="N27" s="20"/>
      <c r="O27" s="20"/>
      <c r="P27" s="20"/>
      <c r="Q27" s="20"/>
      <c r="R27" s="20"/>
      <c r="S27" s="20"/>
    </row>
    <row r="28" spans="1:31">
      <c r="A28" s="20"/>
      <c r="B28" s="20"/>
      <c r="C28" s="183"/>
      <c r="D28" s="183"/>
      <c r="K28" s="183"/>
      <c r="L28" s="183"/>
      <c r="M28" s="183"/>
      <c r="N28" s="183"/>
      <c r="O28" s="183"/>
      <c r="P28" s="183"/>
      <c r="Q28" s="183"/>
      <c r="R28" s="183"/>
      <c r="S28" s="183"/>
    </row>
    <row r="29" spans="1:31">
      <c r="A29" s="20"/>
      <c r="B29" s="20"/>
      <c r="C29" s="183"/>
      <c r="D29" s="183"/>
      <c r="E29" s="183"/>
      <c r="F29" s="183"/>
      <c r="G29" s="183"/>
      <c r="H29" s="183"/>
      <c r="I29" s="183"/>
      <c r="J29" s="183"/>
      <c r="K29" s="183"/>
      <c r="L29" s="183"/>
      <c r="M29" s="183"/>
      <c r="N29" s="183"/>
      <c r="O29" s="183"/>
      <c r="P29" s="183"/>
      <c r="Q29" s="183"/>
      <c r="R29" s="183"/>
      <c r="S29" s="183"/>
      <c r="T29" s="183"/>
      <c r="U29" s="183"/>
      <c r="V29" s="183"/>
      <c r="W29" s="183"/>
    </row>
    <row r="30" spans="1:31" s="8" customFormat="1">
      <c r="C30" s="28" t="s">
        <v>219</v>
      </c>
      <c r="D30" s="28"/>
      <c r="E30" s="28"/>
      <c r="F30" s="28"/>
      <c r="G30" s="28"/>
      <c r="H30" s="28"/>
      <c r="I30" s="28"/>
      <c r="J30" s="28"/>
      <c r="K30" s="28"/>
      <c r="L30" s="28"/>
      <c r="M30" s="28"/>
      <c r="N30" s="28"/>
      <c r="O30" s="28"/>
      <c r="P30" s="28"/>
      <c r="Q30" s="28"/>
      <c r="R30" s="28"/>
      <c r="S30" s="28"/>
      <c r="T30" s="28"/>
      <c r="U30" s="28"/>
      <c r="V30" s="28"/>
      <c r="W30" s="28"/>
    </row>
    <row r="31" spans="1:31" s="8" customFormat="1">
      <c r="C31" s="28" t="s">
        <v>221</v>
      </c>
      <c r="D31" s="28"/>
      <c r="E31" s="28"/>
      <c r="F31" s="28"/>
      <c r="G31" s="28"/>
      <c r="H31" s="28"/>
      <c r="I31" s="28"/>
      <c r="J31" s="28"/>
      <c r="K31" s="28"/>
      <c r="L31" s="28"/>
      <c r="M31" s="28"/>
      <c r="N31" s="28"/>
      <c r="O31" s="28"/>
      <c r="P31" s="28"/>
      <c r="Q31" s="28"/>
      <c r="R31" s="28"/>
      <c r="S31" s="28"/>
      <c r="T31" s="28"/>
      <c r="U31" s="28"/>
      <c r="V31" s="28"/>
      <c r="W31" s="28"/>
    </row>
    <row r="32" spans="1:31" s="8" customFormat="1">
      <c r="C32" s="28" t="s">
        <v>223</v>
      </c>
      <c r="D32" s="28"/>
      <c r="E32" s="28"/>
      <c r="F32" s="28"/>
      <c r="G32" s="28"/>
      <c r="H32" s="28"/>
      <c r="I32" s="28"/>
      <c r="J32" s="28"/>
      <c r="K32" s="28"/>
      <c r="L32" s="28"/>
      <c r="M32" s="28"/>
      <c r="N32" s="28"/>
      <c r="O32" s="28"/>
      <c r="P32" s="28"/>
      <c r="Q32" s="28"/>
      <c r="R32" s="28"/>
      <c r="S32" s="28"/>
      <c r="T32" s="28"/>
      <c r="U32" s="28"/>
      <c r="V32" s="28"/>
      <c r="W32" s="28"/>
      <c r="X32" s="31"/>
      <c r="Y32" s="31"/>
      <c r="Z32" s="31"/>
    </row>
    <row r="33" spans="3:28" s="8" customFormat="1">
      <c r="C33" s="28" t="s">
        <v>225</v>
      </c>
      <c r="D33" s="28"/>
      <c r="E33" s="28"/>
      <c r="F33" s="28"/>
      <c r="G33" s="28"/>
      <c r="H33" s="28"/>
      <c r="I33" s="28"/>
      <c r="J33" s="28"/>
      <c r="K33" s="28"/>
      <c r="L33" s="28"/>
      <c r="M33" s="28"/>
      <c r="N33" s="28"/>
      <c r="O33" s="28"/>
      <c r="P33" s="28"/>
      <c r="Q33" s="28"/>
      <c r="R33" s="28"/>
      <c r="S33" s="28"/>
      <c r="T33" s="28"/>
      <c r="U33" s="28"/>
      <c r="V33" s="28"/>
      <c r="W33" s="28"/>
      <c r="X33" s="31"/>
      <c r="Y33" s="31"/>
      <c r="Z33" s="31"/>
    </row>
    <row r="34" spans="3:28" s="8" customFormat="1"/>
    <row r="35" spans="3:28">
      <c r="C35" s="10"/>
      <c r="D35" s="10"/>
      <c r="E35" s="10"/>
      <c r="F35" s="10"/>
      <c r="G35" s="10"/>
      <c r="H35" s="10"/>
      <c r="I35" s="10"/>
      <c r="J35" s="10"/>
      <c r="K35" s="10"/>
      <c r="L35" s="10"/>
      <c r="M35" s="10"/>
      <c r="N35" s="10"/>
      <c r="O35" s="10"/>
      <c r="P35" s="10"/>
      <c r="Q35" s="10"/>
      <c r="R35" s="10"/>
      <c r="S35" s="10"/>
      <c r="T35" s="10"/>
      <c r="U35" s="10"/>
      <c r="V35" s="10"/>
      <c r="W35" s="10"/>
      <c r="X35" s="8"/>
      <c r="Y35" s="8"/>
      <c r="Z35" s="8"/>
      <c r="AA35" s="8"/>
      <c r="AB35" s="8"/>
    </row>
    <row r="36" spans="3:28">
      <c r="C36" s="10"/>
      <c r="D36" s="10"/>
      <c r="E36" s="10"/>
      <c r="F36" s="10"/>
      <c r="G36" s="10"/>
      <c r="H36" s="10"/>
      <c r="I36" s="10"/>
      <c r="J36" s="10"/>
      <c r="K36" s="10"/>
      <c r="L36" s="10"/>
      <c r="M36" s="10"/>
      <c r="N36" s="10"/>
      <c r="O36" s="10"/>
      <c r="P36" s="10"/>
      <c r="Q36" s="10"/>
      <c r="R36" s="10"/>
      <c r="S36" s="10"/>
      <c r="T36" s="10"/>
      <c r="U36" s="10"/>
      <c r="V36" s="10"/>
      <c r="W36" s="10"/>
      <c r="X36" s="8"/>
      <c r="Y36" s="8"/>
      <c r="Z36" s="8"/>
      <c r="AA36" s="8"/>
      <c r="AB36" s="8"/>
    </row>
    <row r="37" spans="3:28">
      <c r="C37" s="12"/>
      <c r="D37" s="12"/>
      <c r="E37" s="12"/>
      <c r="F37" s="12"/>
      <c r="G37" s="12"/>
      <c r="H37" s="12"/>
      <c r="I37" s="12"/>
      <c r="J37" s="12"/>
      <c r="K37" s="12"/>
      <c r="L37" s="12"/>
      <c r="M37" s="12"/>
      <c r="N37" s="12"/>
      <c r="O37" s="12"/>
      <c r="P37" s="12"/>
      <c r="Q37" s="12"/>
      <c r="R37" s="12"/>
      <c r="S37" s="12"/>
      <c r="T37" s="12"/>
      <c r="U37" s="12"/>
      <c r="V37" s="12"/>
      <c r="W37" s="12"/>
    </row>
    <row r="38" spans="3:28">
      <c r="C38" s="12"/>
      <c r="D38" s="12"/>
      <c r="E38" s="12"/>
      <c r="F38" s="12"/>
      <c r="G38" s="12"/>
      <c r="H38" s="12"/>
      <c r="I38" s="12"/>
      <c r="J38" s="12"/>
      <c r="K38" s="12"/>
      <c r="L38" s="12"/>
      <c r="M38" s="12"/>
      <c r="N38" s="12"/>
      <c r="O38" s="12"/>
      <c r="P38" s="12"/>
      <c r="Q38" s="12"/>
      <c r="R38" s="12"/>
      <c r="S38" s="12"/>
      <c r="T38" s="12"/>
      <c r="U38" s="12"/>
      <c r="V38" s="12"/>
      <c r="W38" s="12"/>
    </row>
    <row r="39" spans="3:28">
      <c r="C39" s="12"/>
      <c r="D39" s="12"/>
      <c r="E39" s="12"/>
      <c r="F39" s="12"/>
      <c r="G39" s="12"/>
      <c r="H39" s="12"/>
      <c r="I39" s="12"/>
      <c r="J39" s="12"/>
      <c r="K39" s="12"/>
      <c r="L39" s="12"/>
      <c r="M39" s="12"/>
      <c r="N39" s="12"/>
      <c r="O39" s="12"/>
      <c r="P39" s="12"/>
      <c r="Q39" s="12"/>
      <c r="R39" s="12"/>
      <c r="S39" s="12"/>
      <c r="T39" s="12"/>
      <c r="U39" s="12"/>
      <c r="V39" s="12"/>
      <c r="W39" s="12"/>
    </row>
  </sheetData>
  <mergeCells count="36">
    <mergeCell ref="AC7:AE7"/>
    <mergeCell ref="F26:G26"/>
    <mergeCell ref="F27:G27"/>
    <mergeCell ref="Q7:S7"/>
    <mergeCell ref="D7:E7"/>
    <mergeCell ref="F7:G7"/>
    <mergeCell ref="H7:J7"/>
    <mergeCell ref="K7:M7"/>
    <mergeCell ref="N7:P7"/>
    <mergeCell ref="D8:E8"/>
    <mergeCell ref="F8:G8"/>
    <mergeCell ref="H8:J8"/>
    <mergeCell ref="K8:M8"/>
    <mergeCell ref="N8:P8"/>
    <mergeCell ref="Q8:S8"/>
    <mergeCell ref="N4:P4"/>
    <mergeCell ref="AC4:AE4"/>
    <mergeCell ref="B3:AE3"/>
    <mergeCell ref="C19:W19"/>
    <mergeCell ref="F23:G23"/>
    <mergeCell ref="T7:V7"/>
    <mergeCell ref="T8:V8"/>
    <mergeCell ref="T4:V4"/>
    <mergeCell ref="W7:Y7"/>
    <mergeCell ref="W8:Y8"/>
    <mergeCell ref="W4:Y4"/>
    <mergeCell ref="Q4:S4"/>
    <mergeCell ref="Z7:AB7"/>
    <mergeCell ref="Z8:AB8"/>
    <mergeCell ref="Z4:AB4"/>
    <mergeCell ref="AC8:AE8"/>
    <mergeCell ref="B1:C1"/>
    <mergeCell ref="D4:E4"/>
    <mergeCell ref="F4:G4"/>
    <mergeCell ref="H4:J4"/>
    <mergeCell ref="K4:M4"/>
  </mergeCells>
  <hyperlinks>
    <hyperlink ref="B1" location="Content!A1" display="↖ atgal į turinį" xr:uid="{05558EF7-F704-4AB3-A820-D354BFCDED4F}"/>
    <hyperlink ref="B1:C1" location="Content!A1" display="↖ atgal į turinį " xr:uid="{0457F257-85C2-46B7-89F3-C3C80846FD96}"/>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5DE6E-596F-4C75-9F93-482E5A3A906F}">
  <sheetPr>
    <tabColor theme="8" tint="-0.249977111117893"/>
  </sheetPr>
  <dimension ref="A1:J49"/>
  <sheetViews>
    <sheetView showGridLines="0" topLeftCell="A35" workbookViewId="0">
      <selection activeCell="D41" sqref="D41:H41"/>
    </sheetView>
  </sheetViews>
  <sheetFormatPr defaultRowHeight="15"/>
  <cols>
    <col min="1" max="1" width="3.42578125" customWidth="1"/>
    <col min="2" max="2" width="111.5703125" customWidth="1"/>
    <col min="3" max="3" width="33.42578125" customWidth="1"/>
  </cols>
  <sheetData>
    <row r="1" spans="2:8" ht="15.75" thickBot="1">
      <c r="B1" s="528" t="s">
        <v>32</v>
      </c>
      <c r="C1" s="528"/>
    </row>
    <row r="2" spans="2:8" ht="29.45" customHeight="1" thickTop="1" thickBot="1">
      <c r="B2" s="330" t="s">
        <v>350</v>
      </c>
      <c r="C2" s="317" t="s">
        <v>351</v>
      </c>
    </row>
    <row r="3" spans="2:8" ht="40.9" customHeight="1">
      <c r="B3" s="604" t="s">
        <v>352</v>
      </c>
      <c r="C3" s="329" t="str">
        <f>IF(H18&gt;0.6, "Netenkinama", "Tenkinama")</f>
        <v>Tenkinama</v>
      </c>
    </row>
    <row r="4" spans="2:8" ht="41.45" customHeight="1" thickBot="1">
      <c r="B4" s="605"/>
      <c r="C4" s="334" t="str">
        <f>IF(H18&gt;0.6, "Invalid", "Valid")</f>
        <v>Valid</v>
      </c>
    </row>
    <row r="5" spans="2:8" ht="15.75" thickTop="1">
      <c r="B5" s="318" t="s">
        <v>353</v>
      </c>
    </row>
    <row r="6" spans="2:8">
      <c r="B6" s="319" t="s">
        <v>354</v>
      </c>
    </row>
    <row r="7" spans="2:8" ht="15.75" thickBot="1"/>
    <row r="8" spans="2:8" ht="33" customHeight="1" thickTop="1" thickBot="1">
      <c r="B8" s="601" t="s">
        <v>355</v>
      </c>
      <c r="C8" s="602"/>
      <c r="D8" s="602"/>
      <c r="E8" s="602"/>
      <c r="F8" s="602"/>
      <c r="G8" s="602"/>
      <c r="H8" s="603"/>
    </row>
    <row r="9" spans="2:8" ht="29.25" thickBot="1">
      <c r="B9" s="321" t="s">
        <v>356</v>
      </c>
      <c r="C9" s="322" t="s">
        <v>357</v>
      </c>
      <c r="D9" s="320">
        <v>2021</v>
      </c>
      <c r="E9" s="320">
        <v>2022</v>
      </c>
      <c r="F9" s="320">
        <v>2023</v>
      </c>
      <c r="G9" s="320">
        <v>2024</v>
      </c>
      <c r="H9" s="323">
        <v>2025</v>
      </c>
    </row>
    <row r="10" spans="2:8" ht="29.25" thickBot="1">
      <c r="B10" s="79" t="s">
        <v>358</v>
      </c>
      <c r="C10" s="306" t="s">
        <v>359</v>
      </c>
      <c r="D10" s="298"/>
      <c r="E10" s="298"/>
      <c r="F10" s="298"/>
      <c r="G10" s="298"/>
      <c r="H10" s="324">
        <f>H37/G34*100</f>
        <v>11.129785378958733</v>
      </c>
    </row>
    <row r="11" spans="2:8" ht="29.25" thickBot="1">
      <c r="B11" s="79" t="s">
        <v>360</v>
      </c>
      <c r="C11" s="306" t="s">
        <v>361</v>
      </c>
      <c r="D11" s="298"/>
      <c r="E11" s="298"/>
      <c r="F11" s="298"/>
      <c r="G11" s="298"/>
      <c r="H11" s="392">
        <v>6.1</v>
      </c>
    </row>
    <row r="12" spans="2:8" ht="29.25" thickBot="1">
      <c r="B12" s="79" t="s">
        <v>362</v>
      </c>
      <c r="C12" s="306" t="s">
        <v>363</v>
      </c>
      <c r="D12" s="298"/>
      <c r="E12" s="298"/>
      <c r="F12" s="298"/>
      <c r="G12" s="298"/>
      <c r="H12" s="311">
        <f>(H10-H11)*G34/100</f>
        <v>1474.4153633759381</v>
      </c>
    </row>
    <row r="13" spans="2:8" ht="29.25" thickBot="1">
      <c r="B13" s="79" t="s">
        <v>364</v>
      </c>
      <c r="C13" s="306" t="s">
        <v>365</v>
      </c>
      <c r="D13" s="298"/>
      <c r="E13" s="298"/>
      <c r="F13" s="298"/>
      <c r="G13" s="298"/>
      <c r="H13" s="311">
        <f>IF(ISBLANK(G10),H12,+H12+G13)</f>
        <v>1474.4153633759381</v>
      </c>
    </row>
    <row r="14" spans="2:8" ht="29.25" thickBot="1">
      <c r="B14" s="79" t="s">
        <v>366</v>
      </c>
      <c r="C14" s="306" t="s">
        <v>367</v>
      </c>
      <c r="D14" s="298"/>
      <c r="E14" s="298"/>
      <c r="F14" s="298"/>
      <c r="G14" s="298"/>
      <c r="H14" s="311">
        <f>H12/H38*100</f>
        <v>1.7539784863598644</v>
      </c>
    </row>
    <row r="15" spans="2:8" ht="29.25" thickBot="1">
      <c r="B15" s="79" t="s">
        <v>368</v>
      </c>
      <c r="C15" s="306" t="s">
        <v>369</v>
      </c>
      <c r="D15" s="298"/>
      <c r="E15" s="298"/>
      <c r="F15" s="298"/>
      <c r="G15" s="298"/>
      <c r="H15" s="311">
        <f>H13/H38*100</f>
        <v>1.7539784863598644</v>
      </c>
    </row>
    <row r="16" spans="2:8" ht="29.25" thickBot="1">
      <c r="B16" s="79" t="s">
        <v>370</v>
      </c>
      <c r="C16" s="306" t="s">
        <v>371</v>
      </c>
      <c r="D16" s="299">
        <f>D39/D38*100</f>
        <v>1.4368064384728376</v>
      </c>
      <c r="E16" s="299">
        <f t="shared" ref="E16:H16" si="0">E39/E38*100</f>
        <v>1.5184604903616667</v>
      </c>
      <c r="F16" s="299">
        <f t="shared" si="0"/>
        <v>2.1818695587819747</v>
      </c>
      <c r="G16" s="299">
        <f t="shared" si="0"/>
        <v>2.4818915340231555</v>
      </c>
      <c r="H16" s="311">
        <f t="shared" si="0"/>
        <v>2.7086218136310216</v>
      </c>
    </row>
    <row r="17" spans="2:8" ht="29.25" thickBot="1">
      <c r="B17" s="79" t="s">
        <v>372</v>
      </c>
      <c r="C17" s="306" t="s">
        <v>373</v>
      </c>
      <c r="D17" s="298"/>
      <c r="E17" s="298"/>
      <c r="F17" s="298"/>
      <c r="G17" s="298"/>
      <c r="H17" s="308">
        <f>MAX(0,MIN(H16-$D$16,1.5))</f>
        <v>1.271815375158184</v>
      </c>
    </row>
    <row r="18" spans="2:8" ht="43.5" thickBot="1">
      <c r="B18" s="325" t="s">
        <v>374</v>
      </c>
      <c r="C18" s="326" t="s">
        <v>375</v>
      </c>
      <c r="D18" s="327"/>
      <c r="E18" s="327"/>
      <c r="F18" s="327"/>
      <c r="G18" s="327"/>
      <c r="H18" s="328">
        <f>H15-H17</f>
        <v>0.48216311120168043</v>
      </c>
    </row>
    <row r="19" spans="2:8" ht="16.5" thickTop="1" thickBot="1"/>
    <row r="20" spans="2:8" ht="29.45" customHeight="1" thickTop="1" thickBot="1">
      <c r="B20" s="601" t="s">
        <v>376</v>
      </c>
      <c r="C20" s="602"/>
      <c r="D20" s="602"/>
      <c r="E20" s="602"/>
      <c r="F20" s="602"/>
      <c r="G20" s="602"/>
      <c r="H20" s="603"/>
    </row>
    <row r="21" spans="2:8" ht="46.9" customHeight="1" thickBot="1">
      <c r="B21" s="321" t="s">
        <v>377</v>
      </c>
      <c r="C21" s="322" t="s">
        <v>357</v>
      </c>
      <c r="D21" s="320">
        <v>2021</v>
      </c>
      <c r="E21" s="320">
        <v>2022</v>
      </c>
      <c r="F21" s="320">
        <v>2023</v>
      </c>
      <c r="G21" s="320">
        <v>2024</v>
      </c>
      <c r="H21" s="323">
        <v>2025</v>
      </c>
    </row>
    <row r="22" spans="2:8" ht="29.25" thickBot="1">
      <c r="B22" s="79" t="s">
        <v>378</v>
      </c>
      <c r="C22" s="306" t="s">
        <v>152</v>
      </c>
      <c r="D22" s="170"/>
      <c r="E22" s="170"/>
      <c r="F22" s="170"/>
      <c r="G22" s="170">
        <v>31136.9</v>
      </c>
      <c r="H22" s="307">
        <v>34738.5</v>
      </c>
    </row>
    <row r="23" spans="2:8" ht="29.25" thickBot="1">
      <c r="B23" s="79" t="s">
        <v>379</v>
      </c>
      <c r="C23" s="306" t="s">
        <v>380</v>
      </c>
      <c r="D23" s="170"/>
      <c r="E23" s="170"/>
      <c r="F23" s="170"/>
      <c r="G23" s="170">
        <v>629.9</v>
      </c>
      <c r="H23" s="307">
        <v>752.2</v>
      </c>
    </row>
    <row r="24" spans="2:8" ht="29.25" thickBot="1">
      <c r="B24" s="79" t="s">
        <v>381</v>
      </c>
      <c r="C24" s="306" t="s">
        <v>382</v>
      </c>
      <c r="D24" s="170"/>
      <c r="E24" s="170"/>
      <c r="F24" s="170"/>
      <c r="G24" s="170">
        <v>111.8</v>
      </c>
      <c r="H24" s="307">
        <v>107.8</v>
      </c>
    </row>
    <row r="25" spans="2:8" ht="29.25" thickBot="1">
      <c r="B25" s="79" t="s">
        <v>383</v>
      </c>
      <c r="C25" s="306" t="s">
        <v>384</v>
      </c>
      <c r="D25" s="170"/>
      <c r="E25" s="170"/>
      <c r="F25" s="170"/>
      <c r="G25" s="170">
        <v>777</v>
      </c>
      <c r="H25" s="307"/>
    </row>
    <row r="26" spans="2:8" ht="29.25" thickBot="1">
      <c r="B26" s="79" t="s">
        <v>385</v>
      </c>
      <c r="C26" s="306" t="s">
        <v>386</v>
      </c>
      <c r="D26" s="304"/>
      <c r="E26" s="304"/>
      <c r="F26" s="304"/>
      <c r="G26" s="305">
        <f>G25/G24</f>
        <v>6.9499105545617175</v>
      </c>
      <c r="H26" s="308">
        <f>IF(ISBLANK(H25),G26,H25/H24)</f>
        <v>6.9499105545617175</v>
      </c>
    </row>
    <row r="27" spans="2:8" ht="29.25" thickBot="1">
      <c r="B27" s="79" t="s">
        <v>387</v>
      </c>
      <c r="C27" s="306" t="s">
        <v>388</v>
      </c>
      <c r="D27" s="304"/>
      <c r="E27" s="304"/>
      <c r="F27" s="304"/>
      <c r="G27" s="305">
        <f>IF(ISBLANK(G25),G26*G24,G25)</f>
        <v>777</v>
      </c>
      <c r="H27" s="308">
        <f>IF(ISBLANK(H25),H26*H24,H25)</f>
        <v>749.20035778175315</v>
      </c>
    </row>
    <row r="28" spans="2:8" ht="29.25" thickBot="1">
      <c r="B28" s="79" t="s">
        <v>389</v>
      </c>
      <c r="C28" s="306" t="s">
        <v>390</v>
      </c>
      <c r="D28" s="295"/>
      <c r="E28" s="295"/>
      <c r="F28" s="295"/>
      <c r="G28" s="295">
        <v>7.1</v>
      </c>
      <c r="H28" s="309">
        <v>6.9</v>
      </c>
    </row>
    <row r="29" spans="2:8" ht="29.25" thickBot="1">
      <c r="B29" s="79" t="s">
        <v>391</v>
      </c>
      <c r="C29" s="306" t="s">
        <v>392</v>
      </c>
      <c r="D29" s="296"/>
      <c r="E29" s="296"/>
      <c r="F29" s="296"/>
      <c r="G29" s="297">
        <v>6.5927819999999997</v>
      </c>
      <c r="H29" s="310">
        <v>6.6230560000000001</v>
      </c>
    </row>
    <row r="30" spans="2:8" ht="29.25" thickBot="1">
      <c r="B30" s="79" t="s">
        <v>393</v>
      </c>
      <c r="C30" s="306" t="s">
        <v>394</v>
      </c>
      <c r="D30" s="298"/>
      <c r="E30" s="298"/>
      <c r="F30" s="298"/>
      <c r="G30" s="299">
        <f>G27*(G28-G29)/G28</f>
        <v>55.508223380281684</v>
      </c>
      <c r="H30" s="311">
        <f>H27*(H28-H29)/H28</f>
        <v>30.070513606595661</v>
      </c>
    </row>
    <row r="31" spans="2:8" ht="29.25" thickBot="1">
      <c r="B31" s="79" t="s">
        <v>395</v>
      </c>
      <c r="C31" s="306" t="s">
        <v>396</v>
      </c>
      <c r="D31" s="295"/>
      <c r="E31" s="295"/>
      <c r="F31" s="295"/>
      <c r="G31" s="295">
        <v>993.8</v>
      </c>
      <c r="H31" s="309">
        <v>1104.4000000000001</v>
      </c>
    </row>
    <row r="32" spans="2:8" ht="29.25" thickBot="1">
      <c r="B32" s="79" t="s">
        <v>397</v>
      </c>
      <c r="C32" s="306" t="s">
        <v>398</v>
      </c>
      <c r="D32" s="295"/>
      <c r="E32" s="295"/>
      <c r="F32" s="295"/>
      <c r="G32" s="390">
        <v>144.10834304999997</v>
      </c>
      <c r="H32" s="309">
        <v>197.3</v>
      </c>
    </row>
    <row r="33" spans="1:10" ht="29.25" thickBot="1">
      <c r="B33" s="79" t="s">
        <v>399</v>
      </c>
      <c r="C33" s="306" t="s">
        <v>160</v>
      </c>
      <c r="D33" s="296"/>
      <c r="E33" s="296"/>
      <c r="F33" s="296"/>
      <c r="G33" s="297">
        <v>-0.1</v>
      </c>
      <c r="H33" s="310">
        <v>-4.0000000000000001E-3</v>
      </c>
    </row>
    <row r="34" spans="1:10" ht="29.25" thickBot="1">
      <c r="B34" s="79" t="s">
        <v>400</v>
      </c>
      <c r="C34" s="306" t="s">
        <v>401</v>
      </c>
      <c r="D34" s="298"/>
      <c r="E34" s="298"/>
      <c r="F34" s="298"/>
      <c r="G34" s="299">
        <f>G22-G23-G30-G31-G32-G33</f>
        <v>29313.683433569717</v>
      </c>
      <c r="H34" s="311">
        <f>H22-H23-H30-H31-H32-H33</f>
        <v>32654.533486393408</v>
      </c>
    </row>
    <row r="35" spans="1:10" ht="43.5" thickBot="1">
      <c r="B35" s="79" t="s">
        <v>402</v>
      </c>
      <c r="C35" s="306" t="s">
        <v>403</v>
      </c>
      <c r="D35" s="298"/>
      <c r="E35" s="298"/>
      <c r="F35" s="298"/>
      <c r="G35" s="298"/>
      <c r="H35" s="311">
        <f>H34-G34</f>
        <v>3340.8500528236909</v>
      </c>
    </row>
    <row r="36" spans="1:10" ht="29.25" thickBot="1">
      <c r="B36" s="79" t="s">
        <v>404</v>
      </c>
      <c r="C36" s="306" t="s">
        <v>405</v>
      </c>
      <c r="D36" s="296"/>
      <c r="E36" s="296"/>
      <c r="F36" s="296"/>
      <c r="G36" s="296"/>
      <c r="H36" s="312">
        <v>78.3</v>
      </c>
    </row>
    <row r="37" spans="1:10" ht="43.5" thickBot="1">
      <c r="B37" s="79" t="s">
        <v>406</v>
      </c>
      <c r="C37" s="306" t="s">
        <v>407</v>
      </c>
      <c r="D37" s="298"/>
      <c r="E37" s="298"/>
      <c r="F37" s="298"/>
      <c r="G37" s="298"/>
      <c r="H37" s="311">
        <f>H35-H36</f>
        <v>3262.5500528236907</v>
      </c>
    </row>
    <row r="38" spans="1:10" ht="29.25" thickBot="1">
      <c r="B38" s="79" t="s">
        <v>408</v>
      </c>
      <c r="C38" s="306" t="s">
        <v>88</v>
      </c>
      <c r="D38" s="295">
        <v>56709.1</v>
      </c>
      <c r="E38" s="295">
        <v>67081.100000000006</v>
      </c>
      <c r="F38" s="295">
        <v>74317</v>
      </c>
      <c r="G38" s="295">
        <v>78996.2</v>
      </c>
      <c r="H38" s="309">
        <v>84061.2</v>
      </c>
    </row>
    <row r="39" spans="1:10" ht="29.25" thickBot="1">
      <c r="B39" s="313" t="s">
        <v>409</v>
      </c>
      <c r="C39" s="314" t="s">
        <v>410</v>
      </c>
      <c r="D39" s="315">
        <v>814.8</v>
      </c>
      <c r="E39" s="315">
        <v>1018.6</v>
      </c>
      <c r="F39" s="315">
        <v>1621.5</v>
      </c>
      <c r="G39" s="315">
        <v>1960.6</v>
      </c>
      <c r="H39" s="316">
        <v>2276.9</v>
      </c>
    </row>
    <row r="40" spans="1:10" ht="15.75" thickTop="1"/>
    <row r="41" spans="1:10" ht="15.75" thickBot="1">
      <c r="A41" s="1"/>
      <c r="B41" s="6" t="s">
        <v>61</v>
      </c>
      <c r="C41" s="1"/>
      <c r="D41" s="443" t="s">
        <v>62</v>
      </c>
      <c r="E41" s="443"/>
      <c r="F41" s="443"/>
      <c r="G41" s="443"/>
      <c r="H41" s="443"/>
      <c r="I41" s="1"/>
      <c r="J41" s="1"/>
    </row>
    <row r="42" spans="1:10" ht="16.5" thickTop="1" thickBot="1">
      <c r="A42" s="1"/>
      <c r="B42" s="6" t="s">
        <v>411</v>
      </c>
      <c r="C42" s="156"/>
      <c r="D42" s="443" t="s">
        <v>412</v>
      </c>
      <c r="E42" s="443"/>
      <c r="F42" s="443"/>
      <c r="G42" s="443"/>
      <c r="H42" s="443"/>
      <c r="I42" s="11"/>
      <c r="J42" s="11"/>
    </row>
    <row r="43" spans="1:10" ht="15.75" thickBot="1">
      <c r="A43" s="6"/>
      <c r="B43" s="6" t="s">
        <v>128</v>
      </c>
      <c r="C43" s="155"/>
      <c r="D43" s="442" t="s">
        <v>413</v>
      </c>
      <c r="E43" s="443"/>
      <c r="F43" s="443"/>
      <c r="G43" s="443"/>
      <c r="H43" s="443"/>
      <c r="I43" s="443"/>
      <c r="J43" s="11"/>
    </row>
    <row r="44" spans="1:10" ht="15.75" thickBot="1">
      <c r="A44" s="6"/>
      <c r="B44" s="6" t="s">
        <v>414</v>
      </c>
      <c r="C44" s="391"/>
      <c r="D44" s="386" t="s">
        <v>415</v>
      </c>
      <c r="E44" s="43"/>
      <c r="F44" s="43"/>
      <c r="G44" s="43"/>
      <c r="H44" s="43"/>
      <c r="I44" s="43"/>
      <c r="J44" s="11"/>
    </row>
    <row r="45" spans="1:10" ht="16.5" thickTop="1" thickBot="1">
      <c r="A45" s="1"/>
      <c r="B45" s="15" t="s">
        <v>134</v>
      </c>
      <c r="C45" s="87"/>
      <c r="D45" s="460" t="s">
        <v>135</v>
      </c>
      <c r="E45" s="461"/>
      <c r="F45" s="461"/>
      <c r="G45" s="461"/>
      <c r="H45" s="461"/>
      <c r="I45" s="461"/>
      <c r="J45" s="461"/>
    </row>
    <row r="46" spans="1:10" ht="29.25" thickTop="1">
      <c r="B46" s="387" t="s">
        <v>416</v>
      </c>
    </row>
    <row r="47" spans="1:10">
      <c r="B47" s="388" t="s">
        <v>417</v>
      </c>
    </row>
    <row r="48" spans="1:10" ht="28.5">
      <c r="B48" s="387" t="s">
        <v>418</v>
      </c>
    </row>
    <row r="49" spans="2:2" ht="29.25">
      <c r="B49" s="389" t="s">
        <v>419</v>
      </c>
    </row>
  </sheetData>
  <mergeCells count="8">
    <mergeCell ref="D41:H41"/>
    <mergeCell ref="D42:H42"/>
    <mergeCell ref="D43:I43"/>
    <mergeCell ref="D45:J45"/>
    <mergeCell ref="B1:C1"/>
    <mergeCell ref="B8:H8"/>
    <mergeCell ref="B20:H20"/>
    <mergeCell ref="B3:B4"/>
  </mergeCells>
  <conditionalFormatting sqref="H18">
    <cfRule type="cellIs" dxfId="1" priority="5" operator="greaterThan">
      <formula>0.6</formula>
    </cfRule>
    <cfRule type="cellIs" dxfId="0" priority="6" operator="lessThanOrEqual">
      <formula>0.6</formula>
    </cfRule>
  </conditionalFormatting>
  <hyperlinks>
    <hyperlink ref="B46" r:id="rId1" display="Tarybos rekomendacija, kuria pritariama Lietuvos nacionaliniam vidutinės trukmės laikotarpio fiskaliniam struktūriniam planui. " xr:uid="{A6E70728-5301-4D5B-BBAF-6DF48E79BF2B}"/>
    <hyperlink ref="B48" r:id="rId2" display="Tarybos rekomendacija, kuria Lietuvai leidžiama nukrypti nuo Tarybos pagal Reglamentą (ES) 2024/1263 nustatyto didžiausio grynųjų išlaidų augimo tempo" xr:uid="{44EF3FA7-89F8-4CC2-848D-24A684BE0F1D}"/>
    <hyperlink ref="B47" r:id="rId3" xr:uid="{22014F59-862D-442D-8DD9-6F4533FFD3B6}"/>
    <hyperlink ref="B49" r:id="rId4" xr:uid="{E6F31895-3BA3-49D8-8ED9-618A24A177C9}"/>
    <hyperlink ref="B1" location="Content!A1" display="↖ atgal į turinį" xr:uid="{309292CD-B43E-4532-9553-CEB4F4AAB76A}"/>
    <hyperlink ref="B1:C1" location="Content!A1" display="↖ atgal į turinį " xr:uid="{4E79D3DA-4D16-4D64-AEA6-39D90C826306}"/>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3" operator="containsText" id="{4F7C1D88-278D-46D9-8E09-64C5614789EE}">
            <xm:f>NOT(ISERROR(SEARCH("Netenkinama",C3)))</xm:f>
            <xm:f>"Netenkinama"</xm:f>
            <x14:dxf>
              <fill>
                <patternFill>
                  <bgColor theme="2" tint="-0.24994659260841701"/>
                </patternFill>
              </fill>
            </x14:dxf>
          </x14:cfRule>
          <x14:cfRule type="containsText" priority="4" operator="containsText" id="{E84922CE-D71D-4B16-9705-C826F945793C}">
            <xm:f>NOT(ISERROR(SEARCH("Tenkinama",C3)))</xm:f>
            <xm:f>"Tenkinama"</xm:f>
            <x14:dxf>
              <fill>
                <patternFill>
                  <bgColor theme="9" tint="-0.24994659260841701"/>
                </patternFill>
              </fill>
            </x14:dxf>
          </x14:cfRule>
          <xm:sqref>C3:C4</xm:sqref>
        </x14:conditionalFormatting>
        <x14:conditionalFormatting xmlns:xm="http://schemas.microsoft.com/office/excel/2006/main">
          <x14:cfRule type="containsText" priority="1" operator="containsText" id="{B9476BE0-7546-4853-95FC-A57A0B11E904}">
            <xm:f>NOT(ISERROR(SEARCH("Invalid",C4)))</xm:f>
            <xm:f>"Invalid"</xm:f>
            <x14:dxf>
              <fill>
                <patternFill>
                  <bgColor theme="2" tint="-0.24994659260841701"/>
                </patternFill>
              </fill>
            </x14:dxf>
          </x14:cfRule>
          <x14:cfRule type="containsText" priority="2" operator="containsText" id="{D49CC103-6397-4D9E-83D9-0FCE81ECF867}">
            <xm:f>NOT(ISERROR(SEARCH("Valid",C4)))</xm:f>
            <xm:f>"Valid"</xm:f>
            <x14:dxf>
              <fill>
                <patternFill>
                  <bgColor theme="9" tint="-0.24994659260841701"/>
                </patternFill>
              </fill>
            </x14:dxf>
          </x14:cfRule>
          <xm:sqref>C4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8" ma:contentTypeDescription="Kurkite naują dokumentą." ma:contentTypeScope="" ma:versionID="ca32cb424d56a78b90a4a7671fe972c3">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c8b85e1310019e6308bc863f59104972"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c102cb31-f5d5-4956-a0cb-1590ba369788">
      <UserInfo>
        <DisplayName/>
        <AccountId xsi:nil="true"/>
        <AccountType/>
      </UserInfo>
    </SharedWithUsers>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1329F4-D511-4571-89D5-4C67682F9B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82EF8B-66EA-4F82-A307-9453EED8E315}">
  <ds:schemaRefs>
    <ds:schemaRef ds:uri="http://schemas.microsoft.com/office/2006/metadata/properties"/>
    <ds:schemaRef ds:uri="http://schemas.microsoft.com/office/infopath/2007/PartnerControls"/>
    <ds:schemaRef ds:uri="c102cb31-f5d5-4956-a0cb-1590ba369788"/>
    <ds:schemaRef ds:uri="cef9cdfa-f4fd-4645-9be5-758c49499792"/>
  </ds:schemaRefs>
</ds:datastoreItem>
</file>

<file path=customXml/itemProps3.xml><?xml version="1.0" encoding="utf-8"?>
<ds:datastoreItem xmlns:ds="http://schemas.openxmlformats.org/officeDocument/2006/customXml" ds:itemID="{6780A987-4A38-4293-857B-392ED21F9808}">
  <ds:schemaRefs>
    <ds:schemaRef ds:uri="http://schemas.microsoft.com/sharepoint/v3/contenttype/forms"/>
  </ds:schemaRefs>
</ds:datastoreItem>
</file>

<file path=docMetadata/LabelInfo.xml><?xml version="1.0" encoding="utf-8"?>
<clbl:labelList xmlns:clbl="http://schemas.microsoft.com/office/2020/mipLabelMetadata">
  <clbl:label id="{c726ada4-eee0-43ea-be57-397a438ff30f}" enabled="1" method="Standard" siteId="{3ff45aa8-20e5-4053-a803-dbc4b63d971e}"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Darbalapiai</vt:lpstr>
      </vt:variant>
      <vt:variant>
        <vt:i4>9</vt:i4>
      </vt:variant>
      <vt:variant>
        <vt:lpstr>Įvardytieji diapazonai</vt:lpstr>
      </vt:variant>
      <vt:variant>
        <vt:i4>1</vt:i4>
      </vt:variant>
    </vt:vector>
  </HeadingPairs>
  <TitlesOfParts>
    <vt:vector size="10" baseType="lpstr">
      <vt:lpstr>Content</vt:lpstr>
      <vt:lpstr>1. Summary</vt:lpstr>
      <vt:lpstr>2. Macro</vt:lpstr>
      <vt:lpstr>3. GGbudget</vt:lpstr>
      <vt:lpstr>4. SurplusGG</vt:lpstr>
      <vt:lpstr>5. GGexpenditure</vt:lpstr>
      <vt:lpstr>6. GGbudgets</vt:lpstr>
      <vt:lpstr>7. History</vt:lpstr>
      <vt:lpstr>8. NET_EXP_EU</vt:lpstr>
      <vt:lpstr>eps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Milda Pieškutė</dc:creator>
  <cp:keywords/>
  <dc:description/>
  <cp:lastModifiedBy>  </cp:lastModifiedBy>
  <cp:revision/>
  <dcterms:created xsi:type="dcterms:W3CDTF">2021-04-14T11:35:04Z</dcterms:created>
  <dcterms:modified xsi:type="dcterms:W3CDTF">2026-05-19T08:10:07Z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ComplianceAssetId">
    <vt:lpwstr/>
  </property>
  <property fmtid="{D5CDD505-2E9C-101B-9397-08002B2CF9AE}" pid="4" name="_ExtendedDescription">
    <vt:lpwstr/>
  </property>
  <property fmtid="{D5CDD505-2E9C-101B-9397-08002B2CF9AE}" pid="5" name="Order">
    <vt:r8>15327300</vt:r8>
  </property>
  <property fmtid="{D5CDD505-2E9C-101B-9397-08002B2CF9AE}" pid="6" name="TriggerFlowInfo">
    <vt:lpwstr/>
  </property>
  <property fmtid="{D5CDD505-2E9C-101B-9397-08002B2CF9AE}" pid="7" name="MediaServiceImageTags">
    <vt:lpwstr/>
  </property>
</Properties>
</file>