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fileSharing readOnlyRecommended="1"/>
  <workbookPr codeName="Šios_darbaknygės"/>
  <mc:AlternateContent xmlns:mc="http://schemas.openxmlformats.org/markup-compatibility/2006">
    <mc:Choice Requires="x15">
      <x15ac:absPath xmlns:x15ac="http://schemas.microsoft.com/office/spreadsheetml/2010/11/ac" url="https://vkontrolelt-my.sharepoint.com/personal/ktomkovskis_vkontrole_lt/Documents/2026-05-18-FSC-viesinimas/"/>
    </mc:Choice>
  </mc:AlternateContent>
  <xr:revisionPtr revIDLastSave="1433" documentId="8_{85279906-195A-46D7-AC75-BD38038516BE}" xr6:coauthVersionLast="47" xr6:coauthVersionMax="47" xr10:uidLastSave="{587F8950-33BC-405E-BB39-BC0206A25F84}"/>
  <bookViews>
    <workbookView xWindow="-28920" yWindow="-120" windowWidth="29040" windowHeight="15720"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 name="7. History" sheetId="8" r:id="rId8"/>
    <sheet name="8. NET_EXP_EU" sheetId="9" r:id="rId9"/>
  </sheets>
  <externalReferences>
    <externalReference r:id="rId10"/>
    <externalReference r:id="rId11"/>
  </externalReferences>
  <definedNames>
    <definedName name="eps" localSheetId="7">'[1]2. Macro'!$D$47</definedName>
    <definedName name="eps">'2. Macro'!$D$47</definedName>
    <definedName name="Kalba">[2]Content!$B$2</definedName>
    <definedName name="metai">'[1]3. GGbudget'!$F$5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9" l="1"/>
  <c r="H27" i="9" s="1"/>
  <c r="H30" i="9" s="1"/>
  <c r="G27" i="9"/>
  <c r="G30" i="9" s="1"/>
  <c r="G34" i="9" s="1"/>
  <c r="F6" i="6"/>
  <c r="C6" i="2"/>
  <c r="C12" i="2"/>
  <c r="C10" i="2"/>
  <c r="D10" i="2"/>
  <c r="D11" i="2"/>
  <c r="C11" i="2"/>
  <c r="D9" i="2"/>
  <c r="C9" i="2"/>
  <c r="E6" i="5"/>
  <c r="E16" i="9"/>
  <c r="F16" i="9"/>
  <c r="G16" i="9"/>
  <c r="H16" i="9"/>
  <c r="H17" i="9" s="1"/>
  <c r="D16" i="9"/>
  <c r="G26" i="9"/>
  <c r="H34" i="9" l="1"/>
  <c r="H35" i="9" s="1"/>
  <c r="H37" i="9" s="1"/>
  <c r="H10" i="9" s="1"/>
  <c r="F8" i="3"/>
  <c r="G8" i="3"/>
  <c r="H8" i="3"/>
  <c r="I8" i="3"/>
  <c r="J8" i="3"/>
  <c r="K8" i="3"/>
  <c r="L8" i="3"/>
  <c r="M8" i="3"/>
  <c r="E8" i="3"/>
  <c r="H12" i="9" l="1"/>
  <c r="H14" i="9" s="1"/>
  <c r="G56" i="6"/>
  <c r="H13" i="9" l="1"/>
  <c r="H15" i="9" s="1"/>
  <c r="H18" i="9" s="1"/>
  <c r="F7" i="6"/>
  <c r="E7" i="5"/>
  <c r="C4" i="9" l="1"/>
  <c r="C31" i="2" s="1"/>
  <c r="C3" i="9"/>
  <c r="C30" i="2" s="1"/>
  <c r="H15" i="4"/>
  <c r="G15" i="4"/>
  <c r="H13" i="4"/>
  <c r="G13" i="4"/>
  <c r="H6" i="4" l="1"/>
  <c r="G6" i="4"/>
  <c r="F6" i="4"/>
  <c r="M35" i="3" l="1"/>
  <c r="M34" i="3"/>
  <c r="M36" i="3" s="1"/>
  <c r="M32" i="3"/>
  <c r="F12" i="3" l="1"/>
  <c r="G12" i="3"/>
  <c r="H12" i="3"/>
  <c r="I12" i="3"/>
  <c r="J12" i="3"/>
  <c r="K12" i="3"/>
  <c r="L12" i="3"/>
  <c r="M12" i="3"/>
  <c r="E12" i="3"/>
  <c r="Q8" i="3"/>
  <c r="Q9" i="3"/>
  <c r="Q12" i="3"/>
  <c r="Q19" i="3" s="1"/>
  <c r="Q13" i="3"/>
  <c r="Q17" i="3"/>
  <c r="Q18" i="3"/>
  <c r="Q27" i="3"/>
  <c r="M20" i="3" l="1"/>
  <c r="M19" i="3"/>
  <c r="Q21" i="3"/>
  <c r="Q28" i="3"/>
  <c r="Q20" i="3"/>
  <c r="M23" i="3" l="1"/>
  <c r="M21" i="3"/>
  <c r="G52" i="6"/>
  <c r="F31" i="5"/>
  <c r="F21" i="7"/>
  <c r="F52" i="6"/>
  <c r="E21" i="7"/>
  <c r="E31" i="5"/>
  <c r="Q22" i="3"/>
  <c r="I27" i="3"/>
  <c r="E30" i="5" l="1"/>
  <c r="AC8" i="8" l="1"/>
  <c r="AC7" i="8"/>
  <c r="W8" i="8"/>
  <c r="W7" i="8"/>
  <c r="L35" i="3" l="1"/>
  <c r="L34" i="3"/>
  <c r="L32" i="3"/>
  <c r="P8" i="3" l="1"/>
  <c r="Q10" i="3" s="1"/>
  <c r="P9" i="3"/>
  <c r="P12" i="3"/>
  <c r="P13" i="3"/>
  <c r="P17" i="3"/>
  <c r="P18" i="3"/>
  <c r="P27" i="3"/>
  <c r="Q29" i="3" s="1"/>
  <c r="P19" i="3" l="1"/>
  <c r="Q14" i="3"/>
  <c r="P28" i="3"/>
  <c r="Q30" i="3" s="1"/>
  <c r="P20" i="3"/>
  <c r="Z8" i="8"/>
  <c r="Z7" i="8"/>
  <c r="P21" i="3" l="1"/>
  <c r="P22" i="3"/>
  <c r="E21" i="4" l="1"/>
  <c r="E7" i="4" l="1"/>
  <c r="E27" i="3" l="1"/>
  <c r="E19" i="3"/>
  <c r="E21" i="3" s="1"/>
  <c r="E20" i="3"/>
  <c r="E22" i="3" s="1"/>
  <c r="E28" i="3"/>
  <c r="E34" i="3"/>
  <c r="E36" i="3" s="1"/>
  <c r="E35" i="3"/>
  <c r="F9" i="3"/>
  <c r="F10" i="3"/>
  <c r="F13" i="3"/>
  <c r="F14" i="3"/>
  <c r="F17" i="3"/>
  <c r="F18" i="3"/>
  <c r="O9" i="3"/>
  <c r="O8" i="3"/>
  <c r="P10" i="3" s="1"/>
  <c r="O12" i="3"/>
  <c r="O13" i="3"/>
  <c r="O17" i="3"/>
  <c r="O18" i="3"/>
  <c r="O27" i="3"/>
  <c r="P29" i="3" s="1"/>
  <c r="N9" i="3"/>
  <c r="E5" i="3"/>
  <c r="O19" i="3" l="1"/>
  <c r="P14" i="3"/>
  <c r="O28" i="3"/>
  <c r="P30" i="3" s="1"/>
  <c r="O20" i="3"/>
  <c r="O21" i="3" l="1"/>
  <c r="O22" i="3"/>
  <c r="T8" i="8"/>
  <c r="Q8" i="8"/>
  <c r="N8" i="8"/>
  <c r="K8" i="8"/>
  <c r="H8" i="8"/>
  <c r="F8" i="8"/>
  <c r="D8" i="8"/>
  <c r="T7" i="8"/>
  <c r="Q7" i="8"/>
  <c r="N7" i="8"/>
  <c r="K7" i="8"/>
  <c r="H7" i="8"/>
  <c r="F7" i="8"/>
  <c r="D7" i="8"/>
  <c r="U6" i="8"/>
  <c r="F7" i="4" l="1"/>
  <c r="G35" i="3"/>
  <c r="D18" i="3"/>
  <c r="L9" i="3"/>
  <c r="E6" i="4"/>
  <c r="E12" i="4" s="1"/>
  <c r="L36" i="3" l="1"/>
  <c r="D26" i="3"/>
  <c r="D38" i="3" s="1"/>
  <c r="F21" i="4" l="1"/>
  <c r="F39" i="6" s="1"/>
  <c r="F53" i="6" s="1"/>
  <c r="F34" i="3" l="1"/>
  <c r="G34" i="3"/>
  <c r="H34" i="3"/>
  <c r="I34" i="3"/>
  <c r="J34" i="3"/>
  <c r="K34" i="3"/>
  <c r="L13" i="3" l="1"/>
  <c r="M13" i="3"/>
  <c r="N13" i="3"/>
  <c r="M14" i="3"/>
  <c r="N12" i="3"/>
  <c r="L14" i="3"/>
  <c r="L10" i="3"/>
  <c r="M9" i="3"/>
  <c r="N8" i="3"/>
  <c r="K9" i="3"/>
  <c r="F5" i="3"/>
  <c r="G5" i="3" s="1"/>
  <c r="H5" i="3" s="1"/>
  <c r="I5" i="3" s="1"/>
  <c r="J5" i="3" s="1"/>
  <c r="K5" i="3" s="1"/>
  <c r="P5" i="3" l="1"/>
  <c r="L5" i="3"/>
  <c r="G51" i="6"/>
  <c r="F51" i="6"/>
  <c r="N14" i="3"/>
  <c r="O14" i="3"/>
  <c r="N10" i="3"/>
  <c r="O10" i="3"/>
  <c r="M10" i="3"/>
  <c r="M5" i="3" l="1"/>
  <c r="Q5" i="3"/>
  <c r="F56" i="6"/>
  <c r="K36" i="3" l="1"/>
  <c r="K35" i="3"/>
  <c r="F45" i="6" l="1"/>
  <c r="G45" i="6"/>
  <c r="H29" i="4"/>
  <c r="G29" i="4"/>
  <c r="H19" i="4"/>
  <c r="G19" i="4"/>
  <c r="H17" i="4"/>
  <c r="G17" i="4"/>
  <c r="H21" i="4" l="1"/>
  <c r="G21" i="4"/>
  <c r="F40" i="6" l="1"/>
  <c r="F54" i="6" s="1"/>
  <c r="F55" i="6" s="1"/>
  <c r="H23" i="4" l="1"/>
  <c r="G23" i="4"/>
  <c r="K20" i="3" l="1"/>
  <c r="K22" i="3" s="1"/>
  <c r="F19" i="3"/>
  <c r="F21" i="3" s="1"/>
  <c r="G19" i="3"/>
  <c r="H19" i="3"/>
  <c r="I19" i="3"/>
  <c r="I23" i="3" s="1"/>
  <c r="J19" i="3"/>
  <c r="K19" i="3"/>
  <c r="M18" i="3"/>
  <c r="M17" i="3"/>
  <c r="K25" i="3" l="1"/>
  <c r="K23" i="3"/>
  <c r="J23" i="3"/>
  <c r="J25" i="3"/>
  <c r="I25" i="3"/>
  <c r="K24" i="3"/>
  <c r="K26" i="3"/>
  <c r="G17" i="6"/>
  <c r="F17" i="6"/>
  <c r="G18" i="6" s="1"/>
  <c r="G19" i="6" l="1"/>
  <c r="F19" i="6"/>
  <c r="F18" i="6"/>
  <c r="K27" i="3"/>
  <c r="G5" i="4"/>
  <c r="G10" i="4" l="1"/>
  <c r="G28" i="4"/>
  <c r="G20" i="4"/>
  <c r="G18" i="4"/>
  <c r="G24" i="4"/>
  <c r="D19" i="3" l="1"/>
  <c r="K13" i="3" l="1"/>
  <c r="L17" i="3" l="1"/>
  <c r="N17" i="3"/>
  <c r="L18" i="3"/>
  <c r="N18" i="3"/>
  <c r="K17" i="3"/>
  <c r="L19" i="3" l="1"/>
  <c r="M27" i="3"/>
  <c r="L20" i="3"/>
  <c r="L27" i="3"/>
  <c r="N27" i="3"/>
  <c r="O29" i="3" s="1"/>
  <c r="G13" i="3"/>
  <c r="H13" i="3"/>
  <c r="I13" i="3"/>
  <c r="J13" i="3"/>
  <c r="G10" i="3"/>
  <c r="H10" i="3"/>
  <c r="I10" i="3"/>
  <c r="J10" i="3"/>
  <c r="K10" i="3"/>
  <c r="G9" i="3"/>
  <c r="H9" i="3"/>
  <c r="I9" i="3"/>
  <c r="J9" i="3"/>
  <c r="L24" i="3" l="1"/>
  <c r="L26" i="3"/>
  <c r="L22" i="3"/>
  <c r="L23" i="3"/>
  <c r="L25" i="3"/>
  <c r="L21" i="3"/>
  <c r="H18" i="4"/>
  <c r="H24" i="4"/>
  <c r="H20" i="4"/>
  <c r="H28" i="4"/>
  <c r="M29" i="3"/>
  <c r="N29" i="3"/>
  <c r="H5" i="4"/>
  <c r="M25" i="3" l="1"/>
  <c r="M22" i="3"/>
  <c r="M24" i="3"/>
  <c r="M26" i="3"/>
  <c r="N19" i="3"/>
  <c r="N20" i="3"/>
  <c r="G17" i="3"/>
  <c r="N22" i="3" l="1"/>
  <c r="E11" i="7"/>
  <c r="E12" i="7"/>
  <c r="F11" i="7"/>
  <c r="F12" i="7"/>
  <c r="N21" i="3"/>
  <c r="K28" i="3"/>
  <c r="K21" i="3"/>
  <c r="C7" i="2" l="1"/>
  <c r="J20" i="3" l="1"/>
  <c r="J26" i="3" l="1"/>
  <c r="J24" i="3"/>
  <c r="F43" i="6"/>
  <c r="E36" i="5" l="1"/>
  <c r="E39" i="5"/>
  <c r="E38" i="5"/>
  <c r="E37" i="5"/>
  <c r="E32" i="5"/>
  <c r="F18" i="5" l="1"/>
  <c r="E18" i="5"/>
  <c r="E17" i="5"/>
  <c r="E19" i="5" s="1"/>
  <c r="F17" i="5"/>
  <c r="F19" i="5" s="1"/>
  <c r="E40" i="5"/>
  <c r="F44" i="6" l="1"/>
  <c r="G20" i="6" l="1"/>
  <c r="G21" i="6" s="1"/>
  <c r="G22" i="6" l="1"/>
  <c r="G68" i="6"/>
  <c r="I68" i="6" s="1"/>
  <c r="F67" i="6" l="1"/>
  <c r="H67" i="6" s="1"/>
  <c r="H11" i="4" l="1"/>
  <c r="H12" i="4" s="1"/>
  <c r="H32" i="4" s="1"/>
  <c r="G11" i="4"/>
  <c r="G12" i="4" s="1"/>
  <c r="G32" i="4" s="1"/>
  <c r="F24" i="7" l="1"/>
  <c r="H22" i="4"/>
  <c r="G40" i="6"/>
  <c r="G54" i="6" s="1"/>
  <c r="H10" i="4"/>
  <c r="J36" i="3"/>
  <c r="F46" i="6" s="1"/>
  <c r="I36" i="3"/>
  <c r="H36" i="3"/>
  <c r="G36" i="3"/>
  <c r="F36" i="3"/>
  <c r="J35" i="3"/>
  <c r="G46" i="6" s="1"/>
  <c r="I35" i="3"/>
  <c r="H35" i="3"/>
  <c r="F35" i="3"/>
  <c r="K32" i="3"/>
  <c r="J32" i="3"/>
  <c r="I32" i="3"/>
  <c r="H32" i="3"/>
  <c r="G32" i="3"/>
  <c r="F32" i="3"/>
  <c r="D30" i="3"/>
  <c r="D29" i="3"/>
  <c r="J28" i="3"/>
  <c r="K30" i="3" s="1"/>
  <c r="I28" i="3"/>
  <c r="H28" i="3"/>
  <c r="G28" i="3"/>
  <c r="F28" i="3"/>
  <c r="F30" i="3" s="1"/>
  <c r="D28" i="3"/>
  <c r="L29" i="3"/>
  <c r="J27" i="3"/>
  <c r="K29" i="3" s="1"/>
  <c r="H27" i="3"/>
  <c r="G27" i="3"/>
  <c r="F27" i="3"/>
  <c r="F29" i="3" s="1"/>
  <c r="D27" i="3"/>
  <c r="D39" i="3"/>
  <c r="D25" i="3"/>
  <c r="D24" i="3"/>
  <c r="D23" i="3"/>
  <c r="D22" i="3"/>
  <c r="D21" i="3"/>
  <c r="D31" i="3" s="1"/>
  <c r="D33" i="3" s="1"/>
  <c r="D34" i="3" s="1"/>
  <c r="D36" i="3" s="1"/>
  <c r="I20" i="3"/>
  <c r="H20" i="3"/>
  <c r="G20" i="3"/>
  <c r="G22" i="3" s="1"/>
  <c r="F20" i="3"/>
  <c r="D20" i="3"/>
  <c r="K18" i="3"/>
  <c r="J18" i="3"/>
  <c r="I18" i="3"/>
  <c r="H18" i="3"/>
  <c r="G18" i="3"/>
  <c r="J17" i="3"/>
  <c r="I17" i="3"/>
  <c r="H17" i="3"/>
  <c r="D17" i="3"/>
  <c r="K14" i="3"/>
  <c r="J14" i="3"/>
  <c r="I14" i="3"/>
  <c r="H14" i="3"/>
  <c r="G14" i="3"/>
  <c r="D13" i="3"/>
  <c r="D11" i="3"/>
  <c r="D10" i="3"/>
  <c r="D9" i="3"/>
  <c r="F7" i="7" l="1"/>
  <c r="F6" i="7"/>
  <c r="D32" i="3"/>
  <c r="I24" i="3"/>
  <c r="I26" i="3"/>
  <c r="D12" i="3"/>
  <c r="D14" i="3" s="1"/>
  <c r="D35" i="3"/>
  <c r="G8" i="6"/>
  <c r="G9" i="6" s="1"/>
  <c r="F8" i="6"/>
  <c r="F9" i="6" s="1"/>
  <c r="F14" i="6"/>
  <c r="F15" i="6" s="1"/>
  <c r="G39" i="6"/>
  <c r="G53" i="6" s="1"/>
  <c r="G67" i="6"/>
  <c r="I67" i="6" s="1"/>
  <c r="G14" i="6"/>
  <c r="G15" i="6" s="1"/>
  <c r="I29" i="3"/>
  <c r="H30" i="3"/>
  <c r="J21" i="3"/>
  <c r="G29" i="3"/>
  <c r="J30" i="3"/>
  <c r="G26" i="4"/>
  <c r="G31" i="4" s="1"/>
  <c r="H26" i="4"/>
  <c r="H31" i="4" s="1"/>
  <c r="G22" i="4"/>
  <c r="I30" i="3"/>
  <c r="J29" i="3"/>
  <c r="H29" i="3"/>
  <c r="G30" i="3"/>
  <c r="O5" i="3"/>
  <c r="N5" i="3"/>
  <c r="H22" i="3"/>
  <c r="G21" i="3"/>
  <c r="I22" i="3"/>
  <c r="H21" i="3"/>
  <c r="F22" i="3"/>
  <c r="J22" i="3"/>
  <c r="I21" i="3"/>
  <c r="F16" i="6" l="1"/>
  <c r="F23" i="7"/>
  <c r="G55" i="6"/>
  <c r="F66" i="6"/>
  <c r="H66" i="6" s="1"/>
  <c r="F22" i="7"/>
  <c r="G66" i="6"/>
  <c r="I66" i="6" s="1"/>
  <c r="G16" i="6"/>
  <c r="F20" i="6"/>
  <c r="F21" i="6" s="1"/>
  <c r="F64" i="6"/>
  <c r="F10" i="6"/>
  <c r="G64" i="6"/>
  <c r="G10" i="6"/>
  <c r="E13" i="7"/>
  <c r="F13" i="7"/>
  <c r="F15" i="7" l="1"/>
  <c r="F14" i="7"/>
  <c r="F16" i="7" s="1"/>
  <c r="F9" i="7"/>
  <c r="I64" i="6"/>
  <c r="H64" i="6"/>
  <c r="F22" i="6"/>
  <c r="F68" i="6"/>
  <c r="H68" i="6" s="1"/>
  <c r="F8" i="7" l="1"/>
  <c r="F17" i="7"/>
  <c r="D27" i="2" s="1"/>
  <c r="F10" i="7"/>
  <c r="D26" i="2" s="1"/>
  <c r="D25" i="2"/>
  <c r="F18" i="7" l="1"/>
  <c r="D28" i="2" s="1"/>
  <c r="L28" i="3" l="1"/>
  <c r="L30" i="3" s="1"/>
  <c r="E24" i="4" l="1"/>
  <c r="E14" i="4"/>
  <c r="E16" i="4"/>
  <c r="M28" i="3"/>
  <c r="M30" i="3" s="1"/>
  <c r="E20" i="4"/>
  <c r="E18" i="4"/>
  <c r="E22" i="4"/>
  <c r="E26" i="4"/>
  <c r="E28" i="4"/>
  <c r="E32" i="4" s="1"/>
  <c r="E10" i="4"/>
  <c r="E8" i="4"/>
  <c r="E30" i="4" s="1"/>
  <c r="E29" i="5" l="1"/>
  <c r="E31" i="4"/>
  <c r="E23" i="7" s="1"/>
  <c r="F8" i="4"/>
  <c r="F16" i="4"/>
  <c r="F14" i="4"/>
  <c r="F22" i="4"/>
  <c r="F18" i="4"/>
  <c r="F24" i="4"/>
  <c r="F28" i="4"/>
  <c r="F10" i="4"/>
  <c r="F20" i="4"/>
  <c r="F12" i="4"/>
  <c r="F32" i="4" s="1"/>
  <c r="F26" i="4"/>
  <c r="N28" i="3"/>
  <c r="F30" i="4" l="1"/>
  <c r="E28" i="5" s="1"/>
  <c r="E8" i="5" s="1"/>
  <c r="F31" i="4"/>
  <c r="E22" i="7" s="1"/>
  <c r="N30" i="3"/>
  <c r="O30" i="3"/>
  <c r="E24" i="7"/>
  <c r="E7" i="7" s="1"/>
  <c r="F11" i="6"/>
  <c r="F12" i="6" s="1"/>
  <c r="E6" i="7" l="1"/>
  <c r="E9" i="7" s="1"/>
  <c r="E15" i="7"/>
  <c r="E14" i="7"/>
  <c r="F13" i="6"/>
  <c r="F65" i="6"/>
  <c r="H65" i="6" s="1"/>
  <c r="F23" i="6"/>
  <c r="E14" i="5"/>
  <c r="E16" i="5" s="1"/>
  <c r="E11" i="5"/>
  <c r="E13" i="5" s="1"/>
  <c r="E12" i="5"/>
  <c r="E9" i="5"/>
  <c r="E15" i="5"/>
  <c r="E10" i="5" l="1"/>
  <c r="E8" i="7"/>
  <c r="F69" i="6"/>
  <c r="F24" i="6" s="1"/>
  <c r="C15" i="2" s="1"/>
  <c r="E16" i="7"/>
  <c r="E17" i="7"/>
  <c r="E10" i="7"/>
  <c r="C26" i="2" s="1"/>
  <c r="C25" i="2"/>
  <c r="F28" i="6"/>
  <c r="F31" i="6" s="1"/>
  <c r="F25" i="6"/>
  <c r="C14" i="2"/>
  <c r="F29" i="6"/>
  <c r="E18" i="7" l="1"/>
  <c r="C28" i="2" s="1"/>
  <c r="C27" i="2"/>
  <c r="C18" i="2"/>
  <c r="C22" i="2"/>
  <c r="C16" i="2"/>
  <c r="F26" i="6"/>
  <c r="C17" i="2" s="1"/>
  <c r="F30" i="6"/>
  <c r="C23" i="2" l="1"/>
  <c r="C20" i="2"/>
  <c r="G14" i="4" l="1"/>
  <c r="H14" i="4"/>
  <c r="G7" i="4"/>
  <c r="G8" i="4" s="1"/>
  <c r="H7" i="4"/>
  <c r="H8" i="4" s="1"/>
  <c r="H16" i="4"/>
  <c r="G43" i="6"/>
  <c r="G16" i="4"/>
  <c r="G44" i="6"/>
  <c r="H30" i="4" l="1"/>
  <c r="F28" i="5" s="1"/>
  <c r="F14" i="5" s="1"/>
  <c r="F16" i="5" s="1"/>
  <c r="G30" i="4"/>
  <c r="F29" i="5" s="1"/>
  <c r="G11" i="6"/>
  <c r="F9" i="5" l="1"/>
  <c r="F15" i="5"/>
  <c r="F8" i="5"/>
  <c r="F10" i="5" s="1"/>
  <c r="F11" i="5"/>
  <c r="F13" i="5" s="1"/>
  <c r="F12" i="5"/>
  <c r="G65" i="6"/>
  <c r="G13" i="6"/>
  <c r="G23" i="6"/>
  <c r="G12" i="6"/>
  <c r="G25" i="6" l="1"/>
  <c r="G29" i="6"/>
  <c r="D14" i="2"/>
  <c r="G28" i="6"/>
  <c r="G31" i="6" s="1"/>
  <c r="I65" i="6"/>
  <c r="G69" i="6"/>
  <c r="G24" i="6" l="1"/>
  <c r="D15" i="2" s="1"/>
  <c r="D18" i="2"/>
  <c r="D22" i="2"/>
  <c r="G30" i="6"/>
  <c r="D16" i="2"/>
  <c r="G26" i="6"/>
  <c r="D17" i="2" s="1"/>
  <c r="D20" i="2" l="1"/>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<sst xmlns="http://schemas.openxmlformats.org/spreadsheetml/2006/main" count="592" uniqueCount="420">
  <si>
    <t xml:space="preserve">FISKALINĖS DRAUSMĖS TAISYKLIŲ LAIKYMOSI SKAIČIUOKLĖ / 
SPREADSHEET OF THE FULFILMENT OF FISCAL DISCIPLINE RULES  </t>
  </si>
  <si>
    <t>2026-05-15 BPE–3</t>
  </si>
  <si>
    <t>APRAŠYMAS / DESCRIPTION</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</si>
  <si>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augimo ribojimo taisyklė ir VS priskiriamų biudžetų taisyklės. 
2024 m. balandžio 30 d. įsigaliojo naujos ES fiskalinės drausmės taisyklės, kurios grindžiamos VS grynųjų išlaidų valdymu. Skaičiuoklės 3 dalyje pateikiamas VS grynųjų išlaidų skaičiavimas ir jų augimo pagal faktinius duomenis atitiktis ES reikalavimams.
</t>
    </r>
    <r>
      <rPr>
        <i/>
        <sz val="11"/>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On April 30, 2024, new EU fiscal discipline rules came into effect, which are based on the management of GG net expenditure. Section 3 of the spreadsheet presents the calculation of net expenditure and the compliance of its growth, based on actual data, with EU requirements.</t>
    </r>
  </si>
  <si>
    <r>
      <t>SUVESTINĖ /</t>
    </r>
    <r>
      <rPr>
        <i/>
        <sz val="12"/>
        <color theme="7" tint="-0.499984740745262"/>
        <rFont val="Arial"/>
        <family val="2"/>
        <charset val="186"/>
      </rPr>
      <t xml:space="preserve"> </t>
    </r>
    <r>
      <rPr>
        <sz val="12"/>
        <color theme="7" tint="-0.499984740745262"/>
        <rFont val="Arial"/>
        <family val="2"/>
        <charset val="186"/>
      </rPr>
      <t>SUMMARY</t>
    </r>
  </si>
  <si>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</si>
  <si>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</si>
  <si>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</si>
  <si>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</si>
  <si>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</si>
  <si>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</si>
  <si>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 xml:space="preserve"> </t>
  </si>
  <si>
    <t>5. VS išlaidų augimo ribojimo taisyklė / GG expenditure growth limiting rule</t>
  </si>
  <si>
    <t>6. VS priskiriamų biudžetų taisyklė / Rules for the budgets attributable to GG sector</t>
  </si>
  <si>
    <t>3. ISTORINIS NACIONALINIŲ TAISYKLIŲ LAIKYMASIS / HISTORICAL ADHERENCE TO NATIONAL RULES</t>
  </si>
  <si>
    <t>7. Istorinis taisyklių laikymasis / Historical adherence to fiscal rules</t>
  </si>
  <si>
    <t>4. ES IŠLAIDŲ AUGIMO RIBOJIMO TAISYKLĖ / EU EXPENDITURE GROWTH LIMITING RULE</t>
  </si>
  <si>
    <t>8. Grynųjų išlaidų augimo atitiktis FSP riboms / Net expenditure growth compliance with FSP limits</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</si>
  <si>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</si>
  <si>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</si>
  <si>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</si>
  <si>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</si>
  <si>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</si>
  <si>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</si>
  <si>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</si>
  <si>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</si>
  <si>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</si>
  <si>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FVĮ</t>
  </si>
  <si>
    <t>Lietuvos Respublikos fiskalinės valdysenos įstatymas</t>
  </si>
  <si>
    <t>FGL</t>
  </si>
  <si>
    <t>Republic of Lithuania Fiscal Governance Law</t>
  </si>
  <si>
    <t>Stabilumo ir augimo pakto teisinis pagrindas (Legal basis of the Stability and Growth Pact)</t>
  </si>
  <si>
    <t>↖ Turinys  / Content</t>
  </si>
  <si>
    <t>LT</t>
  </si>
  <si>
    <r>
      <t xml:space="preserve">1. Fiskalinės drausmės taisyklių laikymosi suvestinė 2025 m.
</t>
    </r>
    <r>
      <rPr>
        <b/>
        <i/>
        <sz val="11"/>
        <color theme="7" tint="-0.499984740745262"/>
        <rFont val="Arial"/>
        <family val="2"/>
        <charset val="186"/>
      </rPr>
      <t>Summary of the fulfilment of the fiscal discipline rules in year 2025</t>
    </r>
  </si>
  <si>
    <t>Taisyklė / Rule</t>
  </si>
  <si>
    <r>
      <t xml:space="preserve">Institucija, kurios projekcijų pagrindu atliekama analizė
</t>
    </r>
    <r>
      <rPr>
        <i/>
        <sz val="11"/>
        <rFont val="Arial"/>
        <family val="2"/>
        <charset val="186"/>
      </rPr>
      <t>Institution, projections of which are used for the analysis</t>
    </r>
  </si>
  <si>
    <t>FM</t>
  </si>
  <si>
    <t>VK FI</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</si>
  <si>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</si>
  <si>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</si>
  <si>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Perteklinio VS taisyklė / Surplus GG sector rule</t>
  </si>
  <si>
    <t xml:space="preserve">Ar patenkinta bent viena perteklinio VS taisyklės sąlygų?
</t>
  </si>
  <si>
    <t>Is at least one condition of the surplus GG rule satisfied?</t>
  </si>
  <si>
    <t>In accordance with Article 10(5) of the CL</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</si>
  <si>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</si>
  <si>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</si>
  <si>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</si>
  <si>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</si>
  <si>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Remiantis KĮ 10 str. 5 d.</t>
  </si>
  <si>
    <t>Is GG expenditure growth limiting rule applied?</t>
  </si>
  <si>
    <t>Ar galioja VS išlaidų augimo ribojimo taisyklė?</t>
  </si>
  <si>
    <t>Is GG expenditure growth limiting rule valid?</t>
  </si>
  <si>
    <t>VS priskiriamų biudžetų taisyklės / Rules for the budgets attributable to GG sector</t>
  </si>
  <si>
    <t>Netikrinama</t>
  </si>
  <si>
    <t>Taisyklė PSDF struktūriniam biudžetui</t>
  </si>
  <si>
    <t>Rule for NHIF structural budget</t>
  </si>
  <si>
    <t>Taisyklė VSDF struktūriniam biudžetui</t>
  </si>
  <si>
    <t>Rule for SSIF structural budget</t>
  </si>
  <si>
    <t>Grynųjų išlaidų augimo atitiktis FSP riboms / Net expenditure growth compliance with FSP limits</t>
  </si>
  <si>
    <r>
      <rPr>
        <sz val="11"/>
        <rFont val="Arial"/>
        <family val="2"/>
        <charset val="186"/>
      </rPr>
      <t>Ar sukauptas nuokrypis nuo FSP ribų neviršyja 0,6 proc. BVP ribos?</t>
    </r>
    <r>
      <rPr>
        <i/>
        <sz val="11"/>
        <rFont val="Arial"/>
        <family val="2"/>
        <charset val="186"/>
      </rPr>
      <t xml:space="preserve">
Is the cumulative net expenditure deviation from FSP limits below 0.6% GDP?
</t>
    </r>
  </si>
  <si>
    <t>Šaltiniai:</t>
  </si>
  <si>
    <t>Sources:</t>
  </si>
  <si>
    <t>Finansų ministerija</t>
  </si>
  <si>
    <t>Ministry of Finance</t>
  </si>
  <si>
    <t>Valstybės kontrolė, kaip nepriklausoma fiskalinė institucija</t>
  </si>
  <si>
    <t>National Audit Office as the Independent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</si>
  <si>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</si>
  <si>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</si>
  <si>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</si>
  <si>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</si>
  <si>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r>
      <rPr>
        <sz val="11"/>
        <rFont val="Arial"/>
        <family val="2"/>
        <charset val="186"/>
      </rPr>
      <t xml:space="preserve">Projekcijos </t>
    </r>
    <r>
      <rPr>
        <i/>
        <sz val="11"/>
        <rFont val="Arial"/>
        <family val="2"/>
        <charset val="186"/>
      </rPr>
      <t xml:space="preserve">/ </t>
    </r>
    <r>
      <rPr>
        <sz val="11"/>
        <rFont val="Arial"/>
        <family val="2"/>
        <charset val="186"/>
      </rPr>
      <t>Projections</t>
    </r>
  </si>
  <si>
    <t>Laikas / Time</t>
  </si>
  <si>
    <t>T</t>
  </si>
  <si>
    <t>t-8</t>
  </si>
  <si>
    <t>t-7</t>
  </si>
  <si>
    <t>t-6</t>
  </si>
  <si>
    <t>t-5</t>
  </si>
  <si>
    <t>t-4</t>
  </si>
  <si>
    <t>t-3</t>
  </si>
  <si>
    <t>t-2</t>
  </si>
  <si>
    <t>t-1</t>
  </si>
  <si>
    <t>t</t>
  </si>
  <si>
    <t>t+1</t>
  </si>
  <si>
    <t>t+2</t>
  </si>
  <si>
    <t>t+3</t>
  </si>
  <si>
    <t>t+4</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</si>
  <si>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</si>
  <si>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</si>
  <si>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</si>
  <si>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</si>
  <si>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</si>
  <si>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</si>
  <si>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</si>
  <si>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</si>
  <si>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</si>
  <si>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</si>
  <si>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</si>
  <si>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</si>
  <si>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</si>
  <si>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</si>
  <si>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</si>
  <si>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</si>
  <si>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</si>
  <si>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</si>
  <si>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</si>
  <si>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</si>
  <si>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2021 = 100
</t>
    </r>
    <r>
      <rPr>
        <i/>
        <sz val="11"/>
        <color rgb="FF000000"/>
        <rFont val="Arial"/>
        <family val="2"/>
        <charset val="186"/>
      </rPr>
      <t>GDP deflator, 2021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</si>
  <si>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</si>
  <si>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</si>
  <si>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</si>
  <si>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</si>
  <si>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</si>
  <si>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</si>
  <si>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</si>
  <si>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</si>
  <si>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</si>
  <si>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</si>
  <si>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</si>
  <si>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</si>
  <si>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</si>
  <si>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</si>
  <si>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</si>
  <si>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</si>
  <si>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</si>
  <si>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Valstybės duomenų agentūra</t>
  </si>
  <si>
    <t>European Commission, Eurostat, State Data Agency</t>
  </si>
  <si>
    <t>2026 pavasario ERS duomenys</t>
  </si>
  <si>
    <t>Finansų ministerija (FM)</t>
  </si>
  <si>
    <t>EDS data for spring 2026                    Ministry of Finance (FM)</t>
  </si>
  <si>
    <t>Valstybės kontrolės, vykdančios fiskalinės institucijos funkcijas, skaičiavimai</t>
  </si>
  <si>
    <t>National Audit Office of Lithuania, implementing the functions of the fiscal institution</t>
  </si>
  <si>
    <t>ERS – ekonominės raidos scenarijus</t>
  </si>
  <si>
    <t xml:space="preserve">EDS – the Economic Development Scenario </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</si>
  <si>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</si>
  <si>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</si>
  <si>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</si>
  <si>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</si>
  <si>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</si>
  <si>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</si>
  <si>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</si>
  <si>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</si>
  <si>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</si>
  <si>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</si>
  <si>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</si>
  <si>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</si>
  <si>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</si>
  <si>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</si>
  <si>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</si>
  <si>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</si>
  <si>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</si>
  <si>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</si>
  <si>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</si>
  <si>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</si>
  <si>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</si>
  <si>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</si>
  <si>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</si>
  <si>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</si>
  <si>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</si>
  <si>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</si>
  <si>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</si>
  <si>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</si>
  <si>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</si>
  <si>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</si>
  <si>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</si>
  <si>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</si>
  <si>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</si>
  <si>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</si>
  <si>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</si>
  <si>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</si>
  <si>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</si>
  <si>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</si>
  <si>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</si>
  <si>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</si>
  <si>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</si>
  <si>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</si>
  <si>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</si>
  <si>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</si>
  <si>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</si>
  <si>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r>
      <t xml:space="preserve">4. Perteklinio VS taisyklės sąlygos
</t>
    </r>
    <r>
      <rPr>
        <b/>
        <i/>
        <sz val="11"/>
        <color theme="7" tint="-0.499984740745262"/>
        <rFont val="Arial"/>
        <family val="2"/>
        <charset val="186"/>
      </rPr>
      <t>Conditions of the surplus GG sector rule</t>
    </r>
  </si>
  <si>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</si>
  <si>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</si>
  <si>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</si>
  <si>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</si>
  <si>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</si>
  <si>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</si>
  <si>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r>
      <t>S</t>
    </r>
    <r>
      <rPr>
        <vertAlign val="subscript"/>
        <sz val="11"/>
        <color theme="7" tint="-0.499984740745262"/>
        <rFont val="Arial"/>
        <family val="2"/>
        <charset val="186"/>
      </rPr>
      <t>1</t>
    </r>
  </si>
  <si>
    <t>VS yra faktiškai perteklinis t metais pagal struktūrinį balansą</t>
  </si>
  <si>
    <t>SB(t) &gt; 0*</t>
  </si>
  <si>
    <t xml:space="preserve">In terms of structural balance GG sector is actually in surplus   </t>
  </si>
  <si>
    <r>
      <t>S</t>
    </r>
    <r>
      <rPr>
        <vertAlign val="subscript"/>
        <sz val="11"/>
        <color theme="7" tint="-0.499984740745262"/>
        <rFont val="Arial"/>
        <family val="2"/>
        <charset val="186"/>
      </rPr>
      <t>2</t>
    </r>
    <r>
      <rPr>
        <sz val="11"/>
        <color theme="1"/>
        <rFont val="Calibri"/>
        <family val="2"/>
        <charset val="186"/>
        <scheme val="minor"/>
      </rPr>
      <t/>
    </r>
  </si>
  <si>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</si>
  <si>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</si>
  <si>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</si>
  <si>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r>
      <t>S</t>
    </r>
    <r>
      <rPr>
        <vertAlign val="subscript"/>
        <sz val="11"/>
        <color theme="7" tint="-0.499984740745262"/>
        <rFont val="Arial"/>
        <family val="2"/>
        <charset val="186"/>
      </rPr>
      <t>3</t>
    </r>
    <r>
      <rPr>
        <sz val="11"/>
        <color theme="1"/>
        <rFont val="Calibri"/>
        <family val="2"/>
        <charset val="186"/>
        <scheme val="minor"/>
      </rPr>
      <t/>
    </r>
  </si>
  <si>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</si>
  <si>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</si>
  <si>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</si>
  <si>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r>
      <t>S</t>
    </r>
    <r>
      <rPr>
        <vertAlign val="subscript"/>
        <sz val="11"/>
        <color theme="7" tint="-0.499984740745262"/>
        <rFont val="Arial"/>
        <family val="2"/>
        <charset val="186"/>
      </rPr>
      <t>4</t>
    </r>
    <r>
      <rPr>
        <sz val="11"/>
        <color theme="1"/>
        <rFont val="Calibri"/>
        <family val="2"/>
        <charset val="186"/>
        <scheme val="minor"/>
      </rPr>
      <t/>
    </r>
  </si>
  <si>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</si>
  <si>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</si>
  <si>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</si>
  <si>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</si>
  <si>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r>
      <t>t metais, išskyrus metus, kuriais susidaro išskirtinės aplinkybės, turi būti tenkinama bent viena iš  S</t>
    </r>
    <r>
      <rPr>
        <b/>
        <vertAlign val="subscript"/>
        <sz val="11"/>
        <color theme="7" tint="-0.499984740745262"/>
        <rFont val="Arial"/>
        <family val="2"/>
        <charset val="186"/>
      </rPr>
      <t>1</t>
    </r>
    <r>
      <rPr>
        <b/>
        <sz val="11"/>
        <color theme="7" tint="-0.499984740745262"/>
        <rFont val="Arial"/>
        <family val="2"/>
        <charset val="186"/>
      </rPr>
      <t>–S</t>
    </r>
    <r>
      <rPr>
        <b/>
        <vertAlign val="subscript"/>
        <sz val="11"/>
        <color theme="7" tint="-0.499984740745262"/>
        <rFont val="Arial"/>
        <family val="2"/>
        <charset val="186"/>
      </rPr>
      <t xml:space="preserve">4 </t>
    </r>
    <r>
      <rPr>
        <b/>
        <sz val="11"/>
        <color theme="7" tint="-0.499984740745262"/>
        <rFont val="Arial"/>
        <family val="2"/>
        <charset val="186"/>
      </rPr>
      <t xml:space="preserve">sąlygų </t>
    </r>
  </si>
  <si>
    <t>Netaikoma</t>
  </si>
  <si>
    <t xml:space="preserve">At year t, with the exception of the year of exceptional circumstances, at least one of the S1–S4 conditions is satisfied </t>
  </si>
  <si>
    <t>Not applied</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</si>
  <si>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</si>
  <si>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</si>
  <si>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</si>
  <si>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</si>
  <si>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</si>
  <si>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</si>
  <si>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</si>
  <si>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</si>
  <si>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</si>
  <si>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</si>
  <si>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Valstybės kontrolė, vykdanti fiskalinės institucijos funkcijas</t>
  </si>
  <si>
    <t>National Audit Office of Lithuania, implementing the functions of the fiscal 
institution</t>
  </si>
  <si>
    <t>S1</t>
  </si>
  <si>
    <t>C1</t>
  </si>
  <si>
    <t>S2</t>
  </si>
  <si>
    <t>C2</t>
  </si>
  <si>
    <t>S3</t>
  </si>
  <si>
    <t>C3</t>
  </si>
  <si>
    <t>S4</t>
  </si>
  <si>
    <t>C4</t>
  </si>
  <si>
    <r>
      <t xml:space="preserve">5. VS išlaidų augimo ribojimo taisyklė
</t>
    </r>
    <r>
      <rPr>
        <b/>
        <i/>
        <sz val="11"/>
        <color theme="7" tint="-0.499984740745262"/>
        <rFont val="Arial"/>
        <family val="2"/>
        <charset val="186"/>
      </rPr>
      <t>GG expenditure growth limiting rule</t>
    </r>
  </si>
  <si>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</si>
  <si>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</si>
  <si>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r>
      <rPr>
        <sz val="11"/>
        <color theme="7" tint="-0.499984740745262"/>
        <rFont val="Arial"/>
        <family val="2"/>
        <charset val="186"/>
      </rPr>
      <t>A</t>
    </r>
    <r>
      <rPr>
        <vertAlign val="subscript"/>
        <sz val="11"/>
        <color theme="7" tint="-0.499984740745262"/>
        <rFont val="Arial"/>
        <family val="2"/>
        <charset val="186"/>
      </rPr>
      <t>1</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</si>
  <si>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</si>
  <si>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</si>
  <si>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r>
      <rPr>
        <sz val="11"/>
        <color theme="7" tint="-0.499984740745262"/>
        <rFont val="Arial"/>
        <family val="2"/>
        <charset val="186"/>
      </rPr>
      <t>A</t>
    </r>
    <r>
      <rPr>
        <vertAlign val="subscript"/>
        <sz val="11"/>
        <color theme="7" tint="-0.499984740745262"/>
        <rFont val="Arial"/>
        <family val="2"/>
        <charset val="186"/>
      </rPr>
      <t>2</t>
    </r>
  </si>
  <si>
    <t>Numatomas VS balanso rodiklio postūmis yra teigiamas ir sudaro bent 1,0 procentinį punktą BVP</t>
  </si>
  <si>
    <t>B(t) − B(t–1) ≥ 1</t>
  </si>
  <si>
    <t>Projected GG sector balance indicator adjustment is positive and makes up at least 1.0 percentage point of GDP</t>
  </si>
  <si>
    <r>
      <rPr>
        <sz val="11"/>
        <color theme="7" tint="-0.499984740745262"/>
        <rFont val="Arial"/>
        <family val="2"/>
        <charset val="186"/>
      </rPr>
      <t>A</t>
    </r>
    <r>
      <rPr>
        <vertAlign val="subscript"/>
        <sz val="11"/>
        <color theme="7" tint="-0.499984740745262"/>
        <rFont val="Arial"/>
        <family val="2"/>
        <charset val="186"/>
      </rPr>
      <t>3</t>
    </r>
  </si>
  <si>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</si>
  <si>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</si>
  <si>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r>
      <rPr>
        <sz val="11"/>
        <color theme="7" tint="-0.499984740745262"/>
        <rFont val="Arial"/>
        <family val="2"/>
        <charset val="186"/>
      </rPr>
      <t>A</t>
    </r>
    <r>
      <rPr>
        <vertAlign val="subscript"/>
        <sz val="11"/>
        <color theme="7" tint="-0.499984740745262"/>
        <rFont val="Arial"/>
        <family val="2"/>
        <charset val="186"/>
      </rPr>
      <t>4</t>
    </r>
  </si>
  <si>
    <t>Keičiant einamųjų metų bet kurio iš VS priskiriamų biudžetų, kurių kiekvieno atskirai planuojami asignavimai viršija 3 procentus BVP to meto kainomis, pajamas ar išlaidas, pakeistas VS balansas nepablogės, palyginti su buvusiu prieš keitimą</t>
  </si>
  <si>
    <t>B3(t) ≥ B3**(t)</t>
  </si>
  <si>
    <t>If planned current year GG sector budgets, the planned appropriations of each of which exceed 3 % of GDP at current prices, are subject to amendment,  the adjusted aggregate balances of the GG budgets is not worse than the one before the amendment</t>
  </si>
  <si>
    <r>
      <rPr>
        <sz val="11"/>
        <color theme="7" tint="-0.499984740745262"/>
        <rFont val="Arial"/>
        <family val="2"/>
        <charset val="186"/>
      </rPr>
      <t>A</t>
    </r>
    <r>
      <rPr>
        <vertAlign val="subscript"/>
        <sz val="11"/>
        <color theme="7" tint="-0.499984740745262"/>
        <rFont val="Arial"/>
        <family val="2"/>
        <charset val="186"/>
      </rPr>
      <t>5</t>
    </r>
  </si>
  <si>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</si>
  <si>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</si>
  <si>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</si>
  <si>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</si>
  <si>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r>
      <t>t metais, VS išlaidų augimo ribojimo taisyklė netaikoma, kai susidaro bent viena iš A</t>
    </r>
    <r>
      <rPr>
        <b/>
        <vertAlign val="subscript"/>
        <sz val="11"/>
        <color theme="7" tint="-0.499984740745262"/>
        <rFont val="Arial"/>
        <family val="2"/>
        <charset val="186"/>
      </rPr>
      <t>1</t>
    </r>
    <r>
      <rPr>
        <b/>
        <sz val="11"/>
        <color theme="7" tint="-0.499984740745262"/>
        <rFont val="Arial"/>
        <family val="2"/>
        <charset val="186"/>
      </rPr>
      <t>–A</t>
    </r>
    <r>
      <rPr>
        <b/>
        <vertAlign val="subscript"/>
        <sz val="11"/>
        <color theme="7" tint="-0.499984740745262"/>
        <rFont val="Arial"/>
        <family val="2"/>
        <charset val="186"/>
      </rPr>
      <t>5</t>
    </r>
    <r>
      <rPr>
        <b/>
        <sz val="11"/>
        <color theme="7" tint="-0.499984740745262"/>
        <rFont val="Arial"/>
        <family val="2"/>
        <charset val="186"/>
      </rPr>
      <t xml:space="preserve"> aplinkybių
</t>
    </r>
  </si>
  <si>
    <t>at year t the GG expenditure growth limiting rule is not applied when at least one of the  A1–A5 escape clauses emerges</t>
  </si>
  <si>
    <r>
      <t xml:space="preserve">Nr.
</t>
    </r>
    <r>
      <rPr>
        <i/>
        <sz val="11"/>
        <color theme="7" tint="-0.499984740745262"/>
        <rFont val="Arial"/>
        <family val="2"/>
        <charset val="186"/>
      </rPr>
      <t>No.</t>
    </r>
  </si>
  <si>
    <r>
      <t xml:space="preserve">Taisyklė
</t>
    </r>
    <r>
      <rPr>
        <i/>
        <sz val="11"/>
        <color theme="7" tint="-0.499984740745262"/>
        <rFont val="Arial"/>
        <family val="2"/>
        <charset val="186"/>
      </rPr>
      <t>Rule</t>
    </r>
  </si>
  <si>
    <r>
      <t xml:space="preserve">Formulė 
</t>
    </r>
    <r>
      <rPr>
        <i/>
        <sz val="11"/>
        <color theme="7" tint="-0.499984740745262"/>
        <rFont val="Arial"/>
        <family val="2"/>
        <charset val="186"/>
      </rPr>
      <t>Formula</t>
    </r>
  </si>
  <si>
    <r>
      <t xml:space="preserve">Išvada
</t>
    </r>
    <r>
      <rPr>
        <i/>
        <sz val="11"/>
        <color theme="7" tint="-0.499984740745262"/>
        <rFont val="Arial"/>
        <family val="2"/>
        <charset val="186"/>
      </rPr>
      <t>Conclusion</t>
    </r>
  </si>
  <si>
    <r>
      <t>T</t>
    </r>
    <r>
      <rPr>
        <vertAlign val="subscript"/>
        <sz val="11"/>
        <color theme="7" tint="-0.499984740745262"/>
        <rFont val="Arial"/>
        <family val="2"/>
        <charset val="186"/>
      </rPr>
      <t>1</t>
    </r>
  </si>
  <si>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</si>
  <si>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</si>
  <si>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</si>
  <si>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</si>
  <si>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 inequality sign is strict, if a difference between both compared sides after rounding is at least 0.1,  else the sign is interpreted as =
** the adjusted aggregate balances of the GG budgets</t>
  </si>
  <si>
    <t>Šaltinis: KĮ 3 straipsnis 3 dalis</t>
  </si>
  <si>
    <t>Source: CL Article 3(3)</t>
  </si>
  <si>
    <t>AV3(t) =</t>
  </si>
  <si>
    <t>AV3(t–1) =</t>
  </si>
  <si>
    <t>ES(t) =</t>
  </si>
  <si>
    <t>ES(t–1) =</t>
  </si>
  <si>
    <t>VI(t) =</t>
  </si>
  <si>
    <t>VI(t–1) =</t>
  </si>
  <si>
    <t>B(t–1)–B(t–2) =</t>
  </si>
  <si>
    <t>BP(t–1)–BP(t–2) =</t>
  </si>
  <si>
    <t>2026 m. pavasario ERS</t>
  </si>
  <si>
    <t>P1(t)/P1(t–1) =</t>
  </si>
  <si>
    <t>EDS data for spring 2026</t>
  </si>
  <si>
    <t>2025 m. rudens ERS</t>
  </si>
  <si>
    <t>P2(t)/P2(t–1) =</t>
  </si>
  <si>
    <t>EDS data for autumn 2025</t>
  </si>
  <si>
    <t>2025 m. rudens EK projekcijos</t>
  </si>
  <si>
    <t>P3(t)/P3(t–1) =</t>
  </si>
  <si>
    <t>EC projections for autumn 2025</t>
  </si>
  <si>
    <t>2025 m. pavasario EK projekcijos</t>
  </si>
  <si>
    <t>P4(t)/P4(t–1) =</t>
  </si>
  <si>
    <t>EC projections for spring 2025</t>
  </si>
  <si>
    <t>2025K1-2025K4</t>
  </si>
  <si>
    <t>ΔYN(t–1) =</t>
  </si>
  <si>
    <t>2025Q1-2025Q4</t>
  </si>
  <si>
    <t>AP(t)  =</t>
  </si>
  <si>
    <t>AV3(t)–ES(t)=</t>
  </si>
  <si>
    <t>AV3(t–1)–ES(t–1)=</t>
  </si>
  <si>
    <t>(AV3(t)-ES(t))/(AV3(t-1)-ES(t-1))=</t>
  </si>
  <si>
    <r>
      <t>Y</t>
    </r>
    <r>
      <rPr>
        <vertAlign val="subscript"/>
        <sz val="11"/>
        <color rgb="FF000000"/>
        <rFont val="Arial"/>
        <family val="2"/>
        <charset val="186"/>
      </rPr>
      <t>np10t</t>
    </r>
  </si>
  <si>
    <t>B3**(t) =</t>
  </si>
  <si>
    <t>B3(t) =</t>
  </si>
  <si>
    <t>Europos Komisija</t>
  </si>
  <si>
    <t>EK</t>
  </si>
  <si>
    <t>European Commission</t>
  </si>
  <si>
    <t>A1</t>
  </si>
  <si>
    <t>A2</t>
  </si>
  <si>
    <t>A3</t>
  </si>
  <si>
    <t>A4</t>
  </si>
  <si>
    <t>A5</t>
  </si>
  <si>
    <r>
      <t xml:space="preserve">6. VS priskiriamų biudžetų taisyklės
</t>
    </r>
    <r>
      <rPr>
        <b/>
        <i/>
        <sz val="11"/>
        <color theme="7" tint="-0.499984740745262"/>
        <rFont val="Arial"/>
        <family val="2"/>
        <charset val="186"/>
      </rPr>
      <t>Rules for the budgets attributable to GG sector</t>
    </r>
  </si>
  <si>
    <r>
      <t xml:space="preserve">Nr.
</t>
    </r>
    <r>
      <rPr>
        <i/>
        <sz val="11"/>
        <color rgb="FF000000"/>
        <rFont val="Arial"/>
        <family val="2"/>
      </rPr>
      <t>No.</t>
    </r>
  </si>
  <si>
    <r>
      <t xml:space="preserve">Taisyklė
</t>
    </r>
    <r>
      <rPr>
        <i/>
        <sz val="11"/>
        <color rgb="FF000000"/>
        <rFont val="Arial"/>
        <family val="2"/>
      </rPr>
      <t>Rule</t>
    </r>
  </si>
  <si>
    <r>
      <t xml:space="preserve">Formulė
</t>
    </r>
    <r>
      <rPr>
        <i/>
        <sz val="11"/>
        <color rgb="FF000000"/>
        <rFont val="Arial"/>
        <family val="2"/>
      </rPr>
      <t>Formula</t>
    </r>
  </si>
  <si>
    <r>
      <t xml:space="preserve">Išvada
</t>
    </r>
    <r>
      <rPr>
        <i/>
        <sz val="11"/>
        <rFont val="Arial"/>
        <family val="2"/>
      </rPr>
      <t>Conclusion</t>
    </r>
  </si>
  <si>
    <r>
      <t>T</t>
    </r>
    <r>
      <rPr>
        <vertAlign val="subscript"/>
        <sz val="11"/>
        <color theme="7" tint="-0.499984740745262"/>
        <rFont val="Arial"/>
        <family val="2"/>
        <charset val="186"/>
      </rPr>
      <t>32</t>
    </r>
  </si>
  <si>
    <t>Nuo 2018 m. sausio 1 d. PSDF biudžetas turi būti planuojamas, tvirtinamas, keičiamas ir vykdomas taip, kad, sprendžiant pagal to biudžeto struktūrinį balanso rodiklį, apskaičiuotą kaupiamuoju principu, jis būtų perteklinis arba subalansuotas</t>
  </si>
  <si>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</si>
  <si>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</si>
  <si>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</si>
  <si>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</si>
  <si>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r>
      <t>T</t>
    </r>
    <r>
      <rPr>
        <vertAlign val="subscript"/>
        <sz val="11"/>
        <color theme="7" tint="-0.499984740745262"/>
        <rFont val="Arial"/>
        <family val="2"/>
        <charset val="186"/>
      </rPr>
      <t>4</t>
    </r>
  </si>
  <si>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</si>
  <si>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</si>
  <si>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</si>
  <si>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</si>
  <si>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t>Rule for VSDF structural budget</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</si>
  <si>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</si>
  <si>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</si>
  <si>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</si>
  <si>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</si>
  <si>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</si>
  <si>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</si>
  <si>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r>
      <t xml:space="preserve">7. Istorinis taisyklių laikymasis
</t>
    </r>
    <r>
      <rPr>
        <b/>
        <i/>
        <sz val="11"/>
        <color theme="7" tint="-0.499984740745262"/>
        <rFont val="Arial"/>
        <family val="2"/>
        <charset val="186"/>
      </rPr>
      <t>Historical adherence to fiscal rules</t>
    </r>
    <r>
      <rPr>
        <b/>
        <sz val="11"/>
        <color theme="7" tint="-0.499984740745262"/>
        <rFont val="Arial"/>
        <family val="2"/>
        <charset val="186"/>
      </rPr>
      <t xml:space="preserve">
</t>
    </r>
  </si>
  <si>
    <r>
      <t xml:space="preserve">Taisyklė
</t>
    </r>
    <r>
      <rPr>
        <i/>
        <sz val="11"/>
        <color rgb="FF000000"/>
        <rFont val="Arial"/>
        <family val="2"/>
        <charset val="186"/>
      </rPr>
      <t>Rule</t>
    </r>
  </si>
  <si>
    <r>
      <t xml:space="preserve">Institucija
</t>
    </r>
    <r>
      <rPr>
        <i/>
        <sz val="10"/>
        <color rgb="FF000000"/>
        <rFont val="Arial"/>
        <family val="2"/>
        <charset val="186"/>
      </rPr>
      <t>Institution</t>
    </r>
  </si>
  <si>
    <t>ex-ante</t>
  </si>
  <si>
    <t>ex-post</t>
  </si>
  <si>
    <t>interim</t>
  </si>
  <si>
    <t xml:space="preserve">interim </t>
  </si>
  <si>
    <t xml:space="preserve">ex-post </t>
  </si>
  <si>
    <t xml:space="preserve">ex-ante </t>
  </si>
  <si>
    <t>Vertinimo data
Date of asessment</t>
  </si>
  <si>
    <t>2024-10-25</t>
  </si>
  <si>
    <t>Atotrūkis nuo potencialo, proc. pot. BVP</t>
  </si>
  <si>
    <t>Output gap (OG), % pot. GDP</t>
  </si>
  <si>
    <t>Perteklinio VS taisyklė</t>
  </si>
  <si>
    <t>–</t>
  </si>
  <si>
    <t>Surplus GG sector rule</t>
  </si>
  <si>
    <t>VS išlaidų augimo ribojimo taisyklė</t>
  </si>
  <si>
    <t>GG expenditure growth limiting rule</t>
  </si>
  <si>
    <t>taisyklės laikėsi</t>
  </si>
  <si>
    <t>the rule was adhered to</t>
  </si>
  <si>
    <t>taisyklės nesilaikė</t>
  </si>
  <si>
    <t>the rule was not adhered to</t>
  </si>
  <si>
    <t>taisyklė netaikoma</t>
  </si>
  <si>
    <t>the rule was not applicable</t>
  </si>
  <si>
    <t>nevertinama</t>
  </si>
  <si>
    <t>the rule is not assessed</t>
  </si>
  <si>
    <r>
      <t xml:space="preserve">Taisyklė
</t>
    </r>
    <r>
      <rPr>
        <b/>
        <i/>
        <sz val="11"/>
        <color theme="7" tint="-0.499984740745262"/>
        <rFont val="Arial"/>
        <family val="2"/>
        <charset val="186"/>
      </rPr>
      <t>Rule</t>
    </r>
  </si>
  <si>
    <r>
      <t xml:space="preserve">Išvada
</t>
    </r>
    <r>
      <rPr>
        <b/>
        <i/>
        <sz val="11"/>
        <color theme="7" tint="-0.499984740745262"/>
        <rFont val="Arial"/>
        <family val="2"/>
        <charset val="186"/>
      </rPr>
      <t>Conclusion</t>
    </r>
  </si>
  <si>
    <r>
      <t xml:space="preserve">Grynųjų išlaidų augimas turi neviršyti grynųjų išlaidų augimo ribų, nustatytų Europos Sąjungos Tarybos patvirtintame fiskaliniame struktūriniame plane (FSP).
</t>
    </r>
    <r>
      <rPr>
        <i/>
        <sz val="11"/>
        <color theme="1"/>
        <rFont val="Arial"/>
        <family val="2"/>
        <charset val="186"/>
      </rPr>
      <t>Net expenditure growth must not exceed the net expenditure growth limits set in the fiscal-structural plan (FSP) endorsed by the Council of the European Union.</t>
    </r>
  </si>
  <si>
    <t>Sukauptas grynųjų išlaidų nuokrypis laikomas nepažeidžiančiu ES taisyklių, jeigu jis neviršija 0,6 proc. BVP.</t>
  </si>
  <si>
    <t>Cumulative net expenditure deviation is considered to comply with EU rules provided that it does not exceed the 0.6 percent of GDP threshold.</t>
  </si>
  <si>
    <r>
      <t xml:space="preserve">Taisyklės vertinimas
</t>
    </r>
    <r>
      <rPr>
        <b/>
        <i/>
        <sz val="11"/>
        <color theme="7" tint="-0.499984740745262"/>
        <rFont val="Arial"/>
        <family val="2"/>
        <charset val="186"/>
      </rPr>
      <t>Assessment of rule</t>
    </r>
  </si>
  <si>
    <r>
      <t xml:space="preserve">Rodiklis
</t>
    </r>
    <r>
      <rPr>
        <i/>
        <sz val="11"/>
        <rFont val="Arial"/>
        <family val="2"/>
        <charset val="186"/>
      </rPr>
      <t>Indicator</t>
    </r>
  </si>
  <si>
    <r>
      <t xml:space="preserve">Žymėjimas | Formulė    
  </t>
    </r>
    <r>
      <rPr>
        <i/>
        <sz val="11"/>
        <rFont val="Arial"/>
        <family val="2"/>
        <charset val="186"/>
      </rPr>
      <t xml:space="preserve"> Notation | Formula</t>
    </r>
  </si>
  <si>
    <r>
      <t xml:space="preserve">Grynosios išlaidos, metinis augimas proc.
</t>
    </r>
    <r>
      <rPr>
        <i/>
        <sz val="11"/>
        <color rgb="FF000000"/>
        <rFont val="Arial"/>
        <family val="2"/>
        <charset val="186"/>
      </rPr>
      <t>Net expenditure, annual % change</t>
    </r>
  </si>
  <si>
    <r>
      <t>Δ%GI = ΔGI</t>
    </r>
    <r>
      <rPr>
        <vertAlign val="subscript"/>
        <sz val="11"/>
        <color theme="1"/>
        <rFont val="Arial"/>
        <family val="2"/>
        <charset val="186"/>
      </rPr>
      <t>DPP</t>
    </r>
    <r>
      <rPr>
        <sz val="11"/>
        <color theme="1"/>
        <rFont val="Arial"/>
        <family val="2"/>
        <charset val="186"/>
      </rPr>
      <t>/GI(T-1)</t>
    </r>
  </si>
  <si>
    <r>
      <t xml:space="preserve">FSP pateiktos ir Tarybos patvirtintos grynųjų išlaidų augimo ribos, metinis augimas proc.*
</t>
    </r>
    <r>
      <rPr>
        <i/>
        <sz val="11"/>
        <color rgb="FF000000"/>
        <rFont val="Arial"/>
        <family val="2"/>
        <charset val="186"/>
      </rPr>
      <t>Net expenditure growth limit submitted in the FSP and endorsed by the European Council, annual % change*</t>
    </r>
  </si>
  <si>
    <t>FSP</t>
  </si>
  <si>
    <r>
      <t xml:space="preserve">Metinis grynųjų išlaidų nuokrypis nuo FSP grynųjų išlaidų augimo ribų, mln. EUR
</t>
    </r>
    <r>
      <rPr>
        <i/>
        <sz val="11"/>
        <color rgb="FF000000"/>
        <rFont val="Arial"/>
        <family val="2"/>
        <charset val="186"/>
      </rPr>
      <t>Annual deviation of net expenditure from the FSP net expenditure growth limit, million EUR</t>
    </r>
  </si>
  <si>
    <t>MN = (Δ%GI-FSP)*GI</t>
  </si>
  <si>
    <r>
      <t xml:space="preserve">Sukauptas grynųjų išlaidų nuokrypis palyginti su FSP, mln. EUR
</t>
    </r>
    <r>
      <rPr>
        <i/>
        <sz val="11"/>
        <color rgb="FF000000"/>
        <rFont val="Arial"/>
        <family val="2"/>
        <charset val="186"/>
      </rPr>
      <t>Cumulative net expenditure deviation compared to the FSP, million EUR</t>
    </r>
  </si>
  <si>
    <t>SN(T) = SN(T-1)+MN(T)</t>
  </si>
  <si>
    <r>
      <t xml:space="preserve">Metinis grynųjų išlaidų nuokrypis nuo FSP grynųjų išlaidų augimo ribų, proc. BVP
</t>
    </r>
    <r>
      <rPr>
        <i/>
        <sz val="11"/>
        <color rgb="FF000000"/>
        <rFont val="Arial"/>
        <family val="2"/>
        <charset val="186"/>
      </rPr>
      <t>Annual deviation of net expenditure from the FSP net expenditure growth limit, % GDP</t>
    </r>
  </si>
  <si>
    <r>
      <t>MN</t>
    </r>
    <r>
      <rPr>
        <vertAlign val="subscript"/>
        <sz val="11"/>
        <color theme="1"/>
        <rFont val="Arial"/>
        <family val="2"/>
        <charset val="186"/>
      </rPr>
      <t>BVP</t>
    </r>
    <r>
      <rPr>
        <sz val="11"/>
        <color theme="1"/>
        <rFont val="Arial"/>
        <family val="2"/>
        <charset val="186"/>
      </rPr>
      <t xml:space="preserve"> = MN/YN</t>
    </r>
  </si>
  <si>
    <r>
      <t xml:space="preserve">Sukauptas grynųjų išlaidų nuokrypis palyginti su FSP, proc. BVP
</t>
    </r>
    <r>
      <rPr>
        <i/>
        <sz val="11"/>
        <color rgb="FF000000"/>
        <rFont val="Arial"/>
        <family val="2"/>
        <charset val="186"/>
      </rPr>
      <t>Cumulative net expenditure deviation compared to the FSP, % GDP</t>
    </r>
  </si>
  <si>
    <r>
      <t>SN</t>
    </r>
    <r>
      <rPr>
        <vertAlign val="subscript"/>
        <sz val="11"/>
        <color theme="1"/>
        <rFont val="Arial"/>
        <family val="2"/>
        <charset val="186"/>
      </rPr>
      <t>BVP</t>
    </r>
    <r>
      <rPr>
        <sz val="11"/>
        <color theme="1"/>
        <rFont val="Arial"/>
        <family val="2"/>
        <charset val="186"/>
      </rPr>
      <t xml:space="preserve"> = SN/YN</t>
    </r>
  </si>
  <si>
    <r>
      <t xml:space="preserve">Gynybos išlaidos (COFOG.02), proc. BVP
</t>
    </r>
    <r>
      <rPr>
        <i/>
        <sz val="11"/>
        <color rgb="FF000000"/>
        <rFont val="Arial"/>
        <family val="2"/>
        <charset val="186"/>
      </rPr>
      <t>Defence expenditure (COFOG.02), % GDP</t>
    </r>
  </si>
  <si>
    <r>
      <t>GYN</t>
    </r>
    <r>
      <rPr>
        <vertAlign val="subscript"/>
        <sz val="11"/>
        <color theme="1"/>
        <rFont val="Arial"/>
        <family val="2"/>
        <charset val="186"/>
      </rPr>
      <t>BVP</t>
    </r>
  </si>
  <si>
    <r>
      <t xml:space="preserve">Lankstumas dėl išlygos gynybos išlaidoms, proc. BVP**
</t>
    </r>
    <r>
      <rPr>
        <i/>
        <sz val="11"/>
        <color rgb="FF000000"/>
        <rFont val="Arial"/>
        <family val="2"/>
        <charset val="186"/>
      </rPr>
      <t>Flexibility due to escape clause for defence expenditure, % GDP**</t>
    </r>
  </si>
  <si>
    <t>LGYN</t>
  </si>
  <si>
    <r>
      <t xml:space="preserve">Sukauptas grynųjų išlaidų nuokrypis palyginti su FSP, įvertinus lankstumą dėl išlygos gynybos išlaidoms, proc. BVP
</t>
    </r>
    <r>
      <rPr>
        <i/>
        <sz val="11"/>
        <color rgb="FF000000"/>
        <rFont val="Arial"/>
        <family val="2"/>
        <charset val="186"/>
      </rPr>
      <t>Cumulative net expenditure deviation compared to the FSP and taking into account the escape clause for defence expenditure, % GDP</t>
    </r>
  </si>
  <si>
    <r>
      <t>SN</t>
    </r>
    <r>
      <rPr>
        <vertAlign val="subscript"/>
        <sz val="11"/>
        <color theme="1"/>
        <rFont val="Arial"/>
        <family val="2"/>
        <charset val="186"/>
      </rPr>
      <t>LGYN</t>
    </r>
    <r>
      <rPr>
        <sz val="11"/>
        <color theme="1"/>
        <rFont val="Arial"/>
        <family val="2"/>
        <charset val="186"/>
      </rPr>
      <t>=SN</t>
    </r>
    <r>
      <rPr>
        <vertAlign val="subscript"/>
        <sz val="11"/>
        <color theme="1"/>
        <rFont val="Arial"/>
        <family val="2"/>
        <charset val="186"/>
      </rPr>
      <t>BVP</t>
    </r>
    <r>
      <rPr>
        <sz val="11"/>
        <color theme="1"/>
        <rFont val="Arial"/>
        <family val="2"/>
        <charset val="186"/>
      </rPr>
      <t>-LGYN</t>
    </r>
  </si>
  <si>
    <r>
      <t xml:space="preserve">Duomenys
</t>
    </r>
    <r>
      <rPr>
        <b/>
        <i/>
        <sz val="11"/>
        <color theme="7" tint="-0.499984740745262"/>
        <rFont val="Arial"/>
        <family val="2"/>
        <charset val="186"/>
      </rPr>
      <t>Data</t>
    </r>
  </si>
  <si>
    <r>
      <rPr>
        <sz val="11"/>
        <rFont val="Arial"/>
        <family val="2"/>
        <charset val="186"/>
      </rPr>
      <t xml:space="preserve">Rodiklis
</t>
    </r>
    <r>
      <rPr>
        <i/>
        <sz val="11"/>
        <rFont val="Arial"/>
        <family val="2"/>
        <charset val="186"/>
      </rPr>
      <t>Indicator</t>
    </r>
  </si>
  <si>
    <r>
      <t xml:space="preserve">Visos išlaidos, mln. EUR
</t>
    </r>
    <r>
      <rPr>
        <i/>
        <sz val="11"/>
        <color rgb="FF000000"/>
        <rFont val="Arial"/>
        <family val="2"/>
        <charset val="186"/>
      </rPr>
      <t>Total expenditure</t>
    </r>
    <r>
      <rPr>
        <sz val="11"/>
        <color rgb="FF000000"/>
        <rFont val="Arial"/>
        <family val="2"/>
        <charset val="186"/>
      </rPr>
      <t xml:space="preserve">, </t>
    </r>
    <r>
      <rPr>
        <i/>
        <sz val="11"/>
        <color rgb="FF000000"/>
        <rFont val="Arial"/>
        <family val="2"/>
        <charset val="186"/>
      </rPr>
      <t>million EUR</t>
    </r>
  </si>
  <si>
    <r>
      <t xml:space="preserve">Palūkanų išlaidos, mln. EUR
</t>
    </r>
    <r>
      <rPr>
        <i/>
        <sz val="11"/>
        <color rgb="FF000000"/>
        <rFont val="Arial"/>
        <family val="2"/>
        <charset val="186"/>
      </rPr>
      <t>Interest expenditure</t>
    </r>
    <r>
      <rPr>
        <sz val="11"/>
        <color rgb="FF000000"/>
        <rFont val="Arial"/>
        <family val="2"/>
        <charset val="186"/>
      </rPr>
      <t xml:space="preserve">, </t>
    </r>
    <r>
      <rPr>
        <i/>
        <sz val="11"/>
        <color rgb="FF000000"/>
        <rFont val="Arial"/>
        <family val="2"/>
        <charset val="186"/>
      </rPr>
      <t>million EUR</t>
    </r>
  </si>
  <si>
    <t>PI</t>
  </si>
  <si>
    <r>
      <t xml:space="preserve">Bedarbiai, tūkst. EUR
</t>
    </r>
    <r>
      <rPr>
        <i/>
        <sz val="11"/>
        <color theme="1"/>
        <rFont val="Arial"/>
        <family val="2"/>
        <charset val="186"/>
      </rPr>
      <t>Unemployed</t>
    </r>
    <r>
      <rPr>
        <sz val="11"/>
        <color rgb="FF000000"/>
        <rFont val="Arial"/>
        <family val="2"/>
        <charset val="186"/>
      </rPr>
      <t>,</t>
    </r>
    <r>
      <rPr>
        <i/>
        <sz val="11"/>
        <color rgb="FF000000"/>
        <rFont val="Arial"/>
        <family val="2"/>
        <charset val="186"/>
      </rPr>
      <t xml:space="preserve"> thousand EUR</t>
    </r>
  </si>
  <si>
    <t>BE</t>
  </si>
  <si>
    <r>
      <t xml:space="preserve">Nedarbo išlaidos (COFOG.10.5), mln. EUR
</t>
    </r>
    <r>
      <rPr>
        <i/>
        <sz val="11"/>
        <color rgb="FF000000"/>
        <rFont val="Arial"/>
        <family val="2"/>
        <charset val="186"/>
      </rPr>
      <t>Unemployment expenditure (COFOG.10.5), million EUR</t>
    </r>
  </si>
  <si>
    <t>NI</t>
  </si>
  <si>
    <r>
      <t xml:space="preserve">Nedarbo išlaidos, tenkančios 1000 bedarbių, mln. EUR
</t>
    </r>
    <r>
      <rPr>
        <i/>
        <sz val="11"/>
        <color rgb="FF000000"/>
        <rFont val="Arial"/>
        <family val="2"/>
        <charset val="186"/>
      </rPr>
      <t>Unemployment expenditure per 1000 unemployed</t>
    </r>
    <r>
      <rPr>
        <sz val="11"/>
        <color rgb="FF000000"/>
        <rFont val="Arial"/>
        <family val="2"/>
        <charset val="186"/>
      </rPr>
      <t xml:space="preserve">, </t>
    </r>
    <r>
      <rPr>
        <i/>
        <sz val="11"/>
        <color rgb="FF000000"/>
        <rFont val="Arial"/>
        <family val="2"/>
        <charset val="186"/>
      </rPr>
      <t>million EUR</t>
    </r>
  </si>
  <si>
    <t>N = NI/BE</t>
  </si>
  <si>
    <r>
      <t xml:space="preserve">Nedarbo išlaidos (COFOG.10.5) ekstrapoliuotos, mln. EUR
</t>
    </r>
    <r>
      <rPr>
        <i/>
        <sz val="11"/>
        <color rgb="FF000000"/>
        <rFont val="Arial"/>
        <family val="2"/>
        <charset val="186"/>
      </rPr>
      <t>Unemployment expenditure (COFOG.10.5) extrapolated, million EUR</t>
    </r>
  </si>
  <si>
    <r>
      <t>N</t>
    </r>
    <r>
      <rPr>
        <vertAlign val="subscript"/>
        <sz val="11"/>
        <color theme="1"/>
        <rFont val="Arial"/>
        <family val="2"/>
        <charset val="186"/>
      </rPr>
      <t xml:space="preserve">eks </t>
    </r>
    <r>
      <rPr>
        <sz val="11"/>
        <color theme="1"/>
        <rFont val="Arial"/>
        <family val="2"/>
        <charset val="186"/>
      </rPr>
      <t>= N * BE</t>
    </r>
  </si>
  <si>
    <r>
      <t xml:space="preserve">Nedarbo lygis, proc.
</t>
    </r>
    <r>
      <rPr>
        <i/>
        <sz val="11"/>
        <color rgb="FF000000"/>
        <rFont val="Arial"/>
        <family val="2"/>
        <charset val="186"/>
      </rPr>
      <t>Unemployment rate</t>
    </r>
    <r>
      <rPr>
        <sz val="11"/>
        <color rgb="FF000000"/>
        <rFont val="Arial"/>
        <family val="2"/>
        <charset val="186"/>
      </rPr>
      <t xml:space="preserve">, </t>
    </r>
    <r>
      <rPr>
        <i/>
        <sz val="11"/>
        <color rgb="FF000000"/>
        <rFont val="Arial"/>
        <family val="2"/>
        <charset val="186"/>
      </rPr>
      <t>%</t>
    </r>
  </si>
  <si>
    <t>NL</t>
  </si>
  <si>
    <r>
      <t xml:space="preserve">NAWRU, proc.
</t>
    </r>
    <r>
      <rPr>
        <i/>
        <sz val="11"/>
        <color rgb="FF000000"/>
        <rFont val="Arial"/>
        <family val="2"/>
        <charset val="186"/>
      </rPr>
      <t>NAWRU</t>
    </r>
    <r>
      <rPr>
        <sz val="11"/>
        <color rgb="FF000000"/>
        <rFont val="Arial"/>
        <family val="2"/>
        <charset val="186"/>
      </rPr>
      <t xml:space="preserve">, </t>
    </r>
    <r>
      <rPr>
        <i/>
        <sz val="11"/>
        <color rgb="FF000000"/>
        <rFont val="Arial"/>
        <family val="2"/>
        <charset val="186"/>
      </rPr>
      <t>%</t>
    </r>
  </si>
  <si>
    <t>NAWRU</t>
  </si>
  <si>
    <r>
      <t xml:space="preserve">Ciklinės nedarbo išlaidos, mln. EUR
</t>
    </r>
    <r>
      <rPr>
        <i/>
        <sz val="11"/>
        <color rgb="FF000000"/>
        <rFont val="Arial"/>
        <family val="2"/>
        <charset val="186"/>
      </rPr>
      <t>Cyclical unemployment expenditure, million EUR</t>
    </r>
  </si>
  <si>
    <r>
      <t>CNI = N</t>
    </r>
    <r>
      <rPr>
        <vertAlign val="subscript"/>
        <sz val="11"/>
        <color theme="1"/>
        <rFont val="Arial"/>
        <family val="2"/>
        <charset val="186"/>
      </rPr>
      <t xml:space="preserve">eks </t>
    </r>
    <r>
      <rPr>
        <sz val="11"/>
        <color theme="1"/>
        <rFont val="Arial"/>
        <family val="2"/>
        <charset val="186"/>
      </rPr>
      <t>* (NL-NAWRU)/NL</t>
    </r>
  </si>
  <si>
    <r>
      <t xml:space="preserve">Pervedimais iš ES finansuojamos išlaidos, mln. EUR
</t>
    </r>
    <r>
      <rPr>
        <i/>
        <sz val="11"/>
        <color rgb="FF000000"/>
        <rFont val="Arial"/>
        <family val="2"/>
        <charset val="186"/>
      </rPr>
      <t>Expenditure funded by transfers from the EU, million EUR</t>
    </r>
  </si>
  <si>
    <t>ES</t>
  </si>
  <si>
    <r>
      <t xml:space="preserve">ES programų bendrojo finansavimo išlaidos finansuojamos nacionalinėmis lėšomis, mln. EUR
</t>
    </r>
    <r>
      <rPr>
        <i/>
        <sz val="11"/>
        <color rgb="FF000000"/>
        <rFont val="Arial"/>
        <family val="2"/>
        <charset val="186"/>
      </rPr>
      <t>National co-financing of EU programmes, million EUR</t>
    </r>
  </si>
  <si>
    <t>KOF</t>
  </si>
  <si>
    <r>
      <t xml:space="preserve">Vienkartinės išlaidos (lygiai, išskyrus ES finansuojamas priemones), mln. EUR
</t>
    </r>
    <r>
      <rPr>
        <i/>
        <sz val="11"/>
        <color rgb="FF000000"/>
        <rFont val="Arial"/>
        <family val="2"/>
        <charset val="186"/>
      </rPr>
      <t>One-off expenditure (levels, excl. EU funded), million EUR</t>
    </r>
  </si>
  <si>
    <r>
      <t xml:space="preserve">Grynosios nacionalinėmis lėšomis finansuojamos pirminės išlaidos (iki diskrecinių pajamų priemonių), mln. EUR
</t>
    </r>
    <r>
      <rPr>
        <i/>
        <sz val="11"/>
        <color rgb="FF000000"/>
        <rFont val="Arial"/>
        <family val="2"/>
        <charset val="186"/>
      </rPr>
      <t>Net nationally financed primary expenditure (before discretionary revenue measures), million EUR</t>
    </r>
  </si>
  <si>
    <t>GI = VI - PI - CNI - ES - KOF - 1klp</t>
  </si>
  <si>
    <r>
      <t xml:space="preserve">Grynųjų nacionalinėmis lėšomis finansuojamų pirminių išlaidų skirtumas (iki diskrecinių pajamų priemonių), mln. EUR
</t>
    </r>
    <r>
      <rPr>
        <i/>
        <sz val="11"/>
        <color rgb="FF000000"/>
        <rFont val="Arial"/>
        <family val="2"/>
        <charset val="186"/>
      </rPr>
      <t>Change in net nationally financed primary expenditure (before discretionary revenue measures), million EUR</t>
    </r>
  </si>
  <si>
    <t>ΔGI(T) = GI(T)-GI(T-1)</t>
  </si>
  <si>
    <r>
      <t xml:space="preserve">Diskrecinės pajamų priemonės (neįskaitant vienkartinių pajamų priemonių, prieaugis), mln. EUR
</t>
    </r>
    <r>
      <rPr>
        <i/>
        <sz val="11"/>
        <color rgb="FF000000"/>
        <rFont val="Arial"/>
        <family val="2"/>
        <charset val="186"/>
      </rPr>
      <t>Discretionary revenue measures (excl. one-off revenue, incremental impact), million EUR</t>
    </r>
  </si>
  <si>
    <t>DPP</t>
  </si>
  <si>
    <r>
      <t xml:space="preserve">Grynųjų nacionalinėmis lėšomis finansuojamų pirminių išlaidų skirtumas (įvertinus diskrecines pajamų priemones), mln. EUR
</t>
    </r>
    <r>
      <rPr>
        <i/>
        <sz val="11"/>
        <color rgb="FF000000"/>
        <rFont val="Arial"/>
        <family val="2"/>
        <charset val="186"/>
      </rPr>
      <t>Change in net nationally financed primary expenditure (after discretionary revenue measures), million EUR</t>
    </r>
  </si>
  <si>
    <r>
      <t>ΔGI</t>
    </r>
    <r>
      <rPr>
        <vertAlign val="subscript"/>
        <sz val="11"/>
        <color theme="1"/>
        <rFont val="Arial"/>
        <family val="2"/>
        <charset val="186"/>
      </rPr>
      <t>DPP</t>
    </r>
    <r>
      <rPr>
        <sz val="11"/>
        <color theme="1"/>
        <rFont val="Arial"/>
        <family val="2"/>
        <charset val="186"/>
      </rPr>
      <t>=ΔGI(T)-DPP</t>
    </r>
  </si>
  <si>
    <r>
      <t xml:space="preserve">Nominalus BVP, mln. EUR
</t>
    </r>
    <r>
      <rPr>
        <i/>
        <sz val="11"/>
        <color rgb="FF000000"/>
        <rFont val="Arial"/>
        <family val="2"/>
        <charset val="186"/>
      </rPr>
      <t>Nominal GDP</t>
    </r>
    <r>
      <rPr>
        <sz val="11"/>
        <color rgb="FF000000"/>
        <rFont val="Arial"/>
        <family val="2"/>
        <charset val="186"/>
      </rPr>
      <t>, million EUR</t>
    </r>
  </si>
  <si>
    <r>
      <t xml:space="preserve">Išlaidos gynybai (COFOG.02), mln. EUR
</t>
    </r>
    <r>
      <rPr>
        <i/>
        <sz val="11"/>
        <color rgb="FF000000"/>
        <rFont val="Arial"/>
        <family val="2"/>
        <charset val="186"/>
      </rPr>
      <t>Defence expenditure (COFOG.02), million EUR</t>
    </r>
  </si>
  <si>
    <t>GYN</t>
  </si>
  <si>
    <t>Eurostatas, Valstybės duomenų agentūra</t>
  </si>
  <si>
    <t>Eurostat, State Data Agency</t>
  </si>
  <si>
    <t>Ministry of Finance (MoF)</t>
  </si>
  <si>
    <t>Fiskalinis struktūrinis planas</t>
  </si>
  <si>
    <t>Fiscal structural plan</t>
  </si>
  <si>
    <t xml:space="preserve">*Tarybos rekomendacija, kuria pritariama Lietuvos nacionaliniam vidutinės trukmės laikotarpio fiskaliniam struktūriniam planui. </t>
  </si>
  <si>
    <t>*Council recommendation endorsing the national medium-term fiscal-structural plan of Lithuania</t>
  </si>
  <si>
    <t>**Tarybos rekomendacija, kuria Lietuvai leidžiama nukrypti nuo Tarybos pagal Reglamentą (ES) 2024/1263 nustatyto didžiausio grynųjų išlaidų augimo tempo</t>
  </si>
  <si>
    <t>**Council recommendation allowing Lithuania to deviate from the maximum growth rates of net expenditure as set by the Council under Regulation (EU) 2024/1263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</si>
</sst>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 numFmtId="174" formatCode="0;\ \–0"/>
    <numFmt numFmtId="175" formatCode="#,##0.##########"/>
  </numFmts>
  <fonts count="7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9"/>
      <name val="Arial"/>
      <family val="2"/>
      <charset val="186"/>
    </font>
    <font>
      <sz val="8"/>
      <color rgb="FFFF0000"/>
      <name val="Arial"/>
      <family val="2"/>
      <charset val="186"/>
    </font>
    <font>
      <sz val="11"/>
      <color rgb="FF000000"/>
      <name val="Calibri"/>
      <family val="2"/>
      <charset val="186"/>
    </font>
    <font>
      <sz val="10"/>
      <color rgb="FF00244D"/>
      <name val="Arial"/>
      <family val="2"/>
      <charset val="186"/>
    </font>
    <font>
      <sz val="11"/>
      <name val="Calibri Light"/>
      <family val="2"/>
      <charset val="186"/>
      <scheme val="major"/>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11"/>
      <color theme="7" tint="-0.499984740745262"/>
      <name val="Arial"/>
      <family val="2"/>
      <charset val="186"/>
    </font>
    <font>
      <sz val="12"/>
      <color theme="7" tint="-0.499984740745262"/>
      <name val="Arial"/>
      <family val="2"/>
      <charset val="186"/>
    </font>
    <font>
      <sz val="14"/>
      <color theme="7" tint="-0.499984740745262"/>
      <name val="Arial"/>
      <family val="2"/>
      <charset val="186"/>
    </font>
    <font>
      <i/>
      <sz val="11"/>
      <color theme="7" tint="-0.499984740745262"/>
      <name val="Arial"/>
      <family val="2"/>
      <charset val="186"/>
    </font>
    <font>
      <i/>
      <sz val="12"/>
      <color theme="7" tint="-0.499984740745262"/>
      <name val="Arial"/>
      <family val="2"/>
      <charset val="186"/>
    </font>
    <font>
      <u/>
      <sz val="11"/>
      <color theme="7" tint="-0.499984740745262"/>
      <name val="Arial"/>
      <family val="2"/>
      <charset val="186"/>
    </font>
    <font>
      <i/>
      <u/>
      <sz val="11"/>
      <color theme="7" tint="-0.499984740745262"/>
      <name val="Arial"/>
      <family val="2"/>
      <charset val="186"/>
    </font>
    <font>
      <b/>
      <sz val="11"/>
      <color theme="7" tint="-0.499984740745262"/>
      <name val="Arial"/>
      <family val="2"/>
      <charset val="186"/>
    </font>
    <font>
      <b/>
      <i/>
      <sz val="11"/>
      <color theme="7" tint="-0.499984740745262"/>
      <name val="Arial"/>
      <family val="2"/>
      <charset val="186"/>
    </font>
    <font>
      <b/>
      <vertAlign val="subscript"/>
      <sz val="11"/>
      <color theme="7" tint="-0.499984740745262"/>
      <name val="Arial"/>
      <family val="2"/>
      <charset val="186"/>
    </font>
    <font>
      <sz val="10"/>
      <color theme="7" tint="-0.499984740745262"/>
      <name val="Arial"/>
      <family val="2"/>
      <charset val="186"/>
    </font>
    <font>
      <i/>
      <sz val="10"/>
      <color theme="7" tint="-0.499984740745262"/>
      <name val="Arial"/>
      <family val="2"/>
      <charset val="186"/>
    </font>
    <font>
      <vertAlign val="subscript"/>
      <sz val="11"/>
      <color theme="7" tint="-0.499984740745262"/>
      <name val="Arial"/>
      <family val="2"/>
      <charset val="186"/>
    </font>
    <font>
      <sz val="11"/>
      <color rgb="FF000000"/>
      <name val="Arial"/>
      <family val="2"/>
    </font>
    <font>
      <i/>
      <sz val="11"/>
      <color rgb="FF000000"/>
      <name val="Arial"/>
      <family val="2"/>
    </font>
    <font>
      <sz val="11"/>
      <name val="Arial"/>
      <family val="2"/>
    </font>
    <font>
      <i/>
      <sz val="11"/>
      <name val="Arial"/>
      <family val="2"/>
    </font>
    <font>
      <sz val="11"/>
      <color indexed="8"/>
      <name val="Calibri"/>
      <family val="2"/>
      <scheme val="minor"/>
    </font>
    <font>
      <sz val="9"/>
      <name val="Arial"/>
      <family val="2"/>
      <charset val="186"/>
    </font>
    <font>
      <sz val="12"/>
      <name val="Times New Roman"/>
      <family val="1"/>
      <charset val="186"/>
    </font>
    <font>
      <sz val="11"/>
      <color indexed="8"/>
      <name val="Calibri"/>
      <family val="2"/>
      <charset val="134"/>
    </font>
    <font>
      <sz val="10"/>
      <color rgb="FF000000"/>
      <name val="Arial"/>
      <family val="2"/>
      <charset val="186"/>
    </font>
    <font>
      <i/>
      <sz val="10"/>
      <color rgb="FF000000"/>
      <name val="Arial"/>
      <family val="2"/>
      <charset val="186"/>
    </font>
    <font>
      <i/>
      <sz val="9"/>
      <color rgb="FFFF0000"/>
      <name val="Arial"/>
      <family val="2"/>
      <charset val="186"/>
    </font>
    <font>
      <sz val="9"/>
      <color rgb="FF000000"/>
      <name val="Arial"/>
      <family val="2"/>
      <charset val="186"/>
    </font>
    <font>
      <b/>
      <sz val="10"/>
      <color theme="7" tint="-0.499984740745262"/>
      <name val="Arial"/>
      <family val="2"/>
      <charset val="186"/>
    </font>
    <font>
      <b/>
      <i/>
      <sz val="10"/>
      <color theme="7" tint="-0.499984740745262"/>
      <name val="Arial"/>
      <family val="2"/>
      <charset val="186"/>
    </font>
    <font>
      <sz val="11"/>
      <color rgb="FFC9D6D9"/>
      <name val="Arial"/>
      <family val="2"/>
      <charset val="186"/>
    </font>
    <font>
      <i/>
      <sz val="10"/>
      <color theme="9" tint="-0.499984740745262"/>
      <name val="Arial"/>
      <family val="2"/>
      <charset val="186"/>
    </font>
    <font>
      <sz val="11"/>
      <color theme="2" tint="-0.499984740745262"/>
      <name val="Arial"/>
      <family val="2"/>
      <charset val="186"/>
    </font>
    <font>
      <sz val="10"/>
      <name val="HelveticaLT"/>
      <charset val="186"/>
    </font>
    <font>
      <sz val="8"/>
      <name val="Calibri"/>
      <family val="2"/>
      <charset val="186"/>
      <scheme val="minor"/>
    </font>
    <font>
      <i/>
      <sz val="11"/>
      <color theme="1"/>
      <name val="Arial"/>
      <family val="2"/>
      <charset val="186"/>
    </font>
    <font>
      <vertAlign val="subscript"/>
      <sz val="11"/>
      <color theme="1"/>
      <name val="Arial"/>
      <family val="2"/>
      <charset val="186"/>
    </font>
    <font>
      <sz val="9"/>
      <color theme="1"/>
      <name val="Arial"/>
      <family val="2"/>
      <charset val="186"/>
    </font>
    <font>
      <i/>
      <sz val="9"/>
      <color theme="1"/>
      <name val="Arial"/>
      <family val="2"/>
      <charset val="186"/>
    </font>
    <font>
      <i/>
      <u/>
      <sz val="11"/>
      <color theme="10"/>
      <name val="Arial"/>
      <family val="2"/>
      <charset val="186"/>
    </font>
    <font>
      <b/>
      <i/>
      <sz val="11"/>
      <name val="Arial"/>
      <family val="2"/>
      <charset val="186"/>
    </font>
  </fonts>
  <fills count="19">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7" tint="0.59999389629810485"/>
        <bgColor rgb="FF000000"/>
      </patternFill>
    </fill>
    <fill>
      <patternFill patternType="solid">
        <fgColor theme="9" tint="0.39997558519241921"/>
        <bgColor rgb="FF000000"/>
      </patternFill>
    </fill>
    <fill>
      <patternFill patternType="solid">
        <fgColor theme="7" tint="0.59999389629810485"/>
        <bgColor indexed="64"/>
      </patternFill>
    </fill>
    <fill>
      <patternFill patternType="solid">
        <fgColor theme="2" tint="0.39997558519241921"/>
        <bgColor rgb="FF000000"/>
      </patternFill>
    </fill>
    <fill>
      <patternFill patternType="solid">
        <fgColor theme="9"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39997558519241921"/>
        <bgColor indexed="64"/>
      </patternFill>
    </fill>
    <fill>
      <patternFill patternType="solid">
        <fgColor theme="0"/>
        <bgColor rgb="FF000000"/>
      </patternFill>
    </fill>
    <fill>
      <patternFill patternType="solid">
        <fgColor theme="8" tint="0.39997558519241921"/>
        <bgColor rgb="FF000000"/>
      </patternFill>
    </fill>
    <fill>
      <patternFill patternType="solid">
        <fgColor theme="8" tint="0.39997558519241921"/>
        <bgColor indexed="64"/>
      </patternFill>
    </fill>
  </fills>
  <borders count="97">
    <border>
      <left/>
      <right/>
      <top/>
      <bottom/>
      <diagonal/>
    </border>
    <border>
      <left/>
      <right/>
      <top style="medium">
        <color rgb="FF00244D"/>
      </top>
      <bottom/>
      <diagonal/>
    </border>
    <border>
      <left style="medium">
        <color rgb="FF00244D"/>
      </left>
      <right/>
      <top/>
      <bottom/>
      <diagonal/>
    </border>
    <border>
      <left/>
      <right style="medium">
        <color rgb="FF00244D"/>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244D"/>
      </left>
      <right style="medium">
        <color rgb="FF00244D"/>
      </right>
      <top/>
      <bottom/>
      <diagonal/>
    </border>
    <border>
      <left/>
      <right/>
      <top/>
      <bottom style="thin">
        <color rgb="FF00244D"/>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rgb="FF00244D"/>
      </bottom>
      <diagonal/>
    </border>
    <border>
      <left/>
      <right/>
      <top style="medium">
        <color theme="7"/>
      </top>
      <bottom style="medium">
        <color rgb="FF00244D"/>
      </bottom>
      <diagonal/>
    </border>
    <border>
      <left/>
      <right style="medium">
        <color theme="7"/>
      </right>
      <top style="medium">
        <color theme="7"/>
      </top>
      <bottom style="medium">
        <color rgb="FF00244D"/>
      </bottom>
      <diagonal/>
    </border>
    <border>
      <left style="medium">
        <color theme="7"/>
      </left>
      <right/>
      <top style="medium">
        <color rgb="FF00244D"/>
      </top>
      <bottom/>
      <diagonal/>
    </border>
    <border>
      <left/>
      <right style="medium">
        <color theme="7"/>
      </right>
      <top style="medium">
        <color rgb="FF00244D"/>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medium">
        <color theme="7"/>
      </right>
      <top style="medium">
        <color rgb="FF00244D"/>
      </top>
      <bottom style="medium">
        <color theme="7"/>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style="medium">
        <color theme="7"/>
      </left>
      <right style="medium">
        <color theme="7"/>
      </right>
      <top/>
      <bottom/>
      <diagonal/>
    </border>
    <border>
      <left style="medium">
        <color theme="7"/>
      </left>
      <right style="medium">
        <color theme="7"/>
      </right>
      <top style="medium">
        <color theme="7"/>
      </top>
      <bottom style="medium">
        <color rgb="FF00244D"/>
      </bottom>
      <diagonal/>
    </border>
    <border>
      <left style="medium">
        <color theme="7"/>
      </left>
      <right style="medium">
        <color theme="7"/>
      </right>
      <top style="medium">
        <color rgb="FF00244D"/>
      </top>
      <bottom style="medium">
        <color rgb="FF00244D"/>
      </bottom>
      <diagonal/>
    </border>
    <border>
      <left style="medium">
        <color theme="7"/>
      </left>
      <right/>
      <top style="medium">
        <color theme="7"/>
      </top>
      <bottom/>
      <diagonal/>
    </border>
    <border>
      <left/>
      <right style="medium">
        <color theme="7"/>
      </right>
      <top style="medium">
        <color theme="7"/>
      </top>
      <bottom/>
      <diagonal/>
    </border>
    <border>
      <left style="thick">
        <color theme="7"/>
      </left>
      <right style="thick">
        <color theme="7"/>
      </right>
      <top style="thick">
        <color theme="7"/>
      </top>
      <bottom style="thick">
        <color theme="7"/>
      </bottom>
      <diagonal/>
    </border>
    <border>
      <left style="thick">
        <color theme="7"/>
      </left>
      <right style="medium">
        <color rgb="FF00244D"/>
      </right>
      <top style="thick">
        <color theme="7"/>
      </top>
      <bottom/>
      <diagonal/>
    </border>
    <border>
      <left style="medium">
        <color rgb="FF00244D"/>
      </left>
      <right style="medium">
        <color rgb="FF00244D"/>
      </right>
      <top style="thick">
        <color theme="7"/>
      </top>
      <bottom/>
      <diagonal/>
    </border>
    <border>
      <left style="medium">
        <color rgb="FF00244D"/>
      </left>
      <right style="thick">
        <color theme="7"/>
      </right>
      <top style="thick">
        <color theme="7"/>
      </top>
      <bottom/>
      <diagonal/>
    </border>
    <border>
      <left style="thick">
        <color theme="7"/>
      </left>
      <right style="medium">
        <color theme="7"/>
      </right>
      <top style="medium">
        <color theme="7"/>
      </top>
      <bottom style="medium">
        <color theme="7"/>
      </bottom>
      <diagonal/>
    </border>
    <border>
      <left style="medium">
        <color theme="7"/>
      </left>
      <right style="thick">
        <color theme="7"/>
      </right>
      <top style="medium">
        <color theme="7"/>
      </top>
      <bottom style="medium">
        <color theme="7"/>
      </bottom>
      <diagonal/>
    </border>
    <border>
      <left style="thick">
        <color theme="7"/>
      </left>
      <right style="medium">
        <color theme="7"/>
      </right>
      <top style="medium">
        <color theme="7"/>
      </top>
      <bottom/>
      <diagonal/>
    </border>
    <border>
      <left style="medium">
        <color theme="7"/>
      </left>
      <right style="thick">
        <color theme="7"/>
      </right>
      <top style="medium">
        <color theme="7"/>
      </top>
      <bottom/>
      <diagonal/>
    </border>
    <border>
      <left style="thick">
        <color theme="7"/>
      </left>
      <right style="medium">
        <color theme="7"/>
      </right>
      <top/>
      <bottom style="medium">
        <color theme="7"/>
      </bottom>
      <diagonal/>
    </border>
    <border>
      <left style="medium">
        <color theme="7"/>
      </left>
      <right style="thick">
        <color theme="7"/>
      </right>
      <top/>
      <bottom style="medium">
        <color theme="7"/>
      </bottom>
      <diagonal/>
    </border>
    <border>
      <left style="thick">
        <color theme="7"/>
      </left>
      <right style="medium">
        <color theme="7"/>
      </right>
      <top/>
      <bottom/>
      <diagonal/>
    </border>
    <border>
      <left style="medium">
        <color theme="7"/>
      </left>
      <right style="thick">
        <color theme="7"/>
      </right>
      <top/>
      <bottom/>
      <diagonal/>
    </border>
    <border>
      <left style="thick">
        <color theme="7"/>
      </left>
      <right style="medium">
        <color theme="7"/>
      </right>
      <top/>
      <bottom style="thick">
        <color theme="7"/>
      </bottom>
      <diagonal/>
    </border>
    <border>
      <left style="medium">
        <color theme="7"/>
      </left>
      <right style="medium">
        <color theme="7"/>
      </right>
      <top/>
      <bottom style="thick">
        <color theme="7"/>
      </bottom>
      <diagonal/>
    </border>
    <border>
      <left style="medium">
        <color theme="7"/>
      </left>
      <right style="thick">
        <color theme="7"/>
      </right>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medium">
        <color theme="7"/>
      </right>
      <top style="medium">
        <color theme="7"/>
      </top>
      <bottom style="thick">
        <color theme="7"/>
      </bottom>
      <diagonal/>
    </border>
    <border>
      <left style="medium">
        <color theme="7"/>
      </left>
      <right style="medium">
        <color theme="7"/>
      </right>
      <top style="medium">
        <color theme="7"/>
      </top>
      <bottom style="thick">
        <color theme="7"/>
      </bottom>
      <diagonal/>
    </border>
    <border>
      <left style="medium">
        <color theme="7"/>
      </left>
      <right style="thick">
        <color theme="7"/>
      </right>
      <top style="medium">
        <color theme="7"/>
      </top>
      <bottom style="thick">
        <color theme="7"/>
      </bottom>
      <diagonal/>
    </border>
    <border>
      <left style="thick">
        <color theme="7"/>
      </left>
      <right style="medium">
        <color rgb="FF00244D"/>
      </right>
      <top style="thick">
        <color theme="7"/>
      </top>
      <bottom style="medium">
        <color theme="7"/>
      </bottom>
      <diagonal/>
    </border>
    <border>
      <left style="medium">
        <color rgb="FF00244D"/>
      </left>
      <right style="medium">
        <color rgb="FF00244D"/>
      </right>
      <top style="thick">
        <color theme="7"/>
      </top>
      <bottom style="medium">
        <color theme="7"/>
      </bottom>
      <diagonal/>
    </border>
    <border>
      <left style="medium">
        <color rgb="FF00244D"/>
      </left>
      <right style="thick">
        <color theme="7"/>
      </right>
      <top style="thick">
        <color theme="7"/>
      </top>
      <bottom style="medium">
        <color theme="7"/>
      </bottom>
      <diagonal/>
    </border>
    <border>
      <left style="thick">
        <color theme="7"/>
      </left>
      <right/>
      <top/>
      <bottom/>
      <diagonal/>
    </border>
    <border>
      <left/>
      <right style="thick">
        <color theme="7"/>
      </right>
      <top/>
      <bottom/>
      <diagonal/>
    </border>
    <border>
      <left style="thick">
        <color theme="7"/>
      </left>
      <right style="medium">
        <color theme="7"/>
      </right>
      <top style="medium">
        <color theme="7"/>
      </top>
      <bottom style="medium">
        <color rgb="FF00244D"/>
      </bottom>
      <diagonal/>
    </border>
    <border>
      <left style="thick">
        <color theme="7"/>
      </left>
      <right style="medium">
        <color theme="7"/>
      </right>
      <top style="medium">
        <color rgb="FF00244D"/>
      </top>
      <bottom/>
      <diagonal/>
    </border>
    <border>
      <left style="thick">
        <color theme="7"/>
      </left>
      <right style="medium">
        <color theme="7"/>
      </right>
      <top/>
      <bottom style="medium">
        <color rgb="FF00244D"/>
      </bottom>
      <diagonal/>
    </border>
    <border>
      <left style="thick">
        <color theme="7"/>
      </left>
      <right style="medium">
        <color theme="7"/>
      </right>
      <top style="medium">
        <color rgb="FF00244D"/>
      </top>
      <bottom style="medium">
        <color theme="7"/>
      </bottom>
      <diagonal/>
    </border>
    <border>
      <left style="thick">
        <color theme="7"/>
      </left>
      <right style="medium">
        <color rgb="FF00244D"/>
      </right>
      <top/>
      <bottom/>
      <diagonal/>
    </border>
    <border>
      <left style="medium">
        <color rgb="FF00244D"/>
      </left>
      <right style="thick">
        <color theme="7"/>
      </right>
      <top/>
      <bottom/>
      <diagonal/>
    </border>
    <border>
      <left style="thick">
        <color theme="7"/>
      </left>
      <right style="medium">
        <color theme="7"/>
      </right>
      <top style="medium">
        <color rgb="FF00244D"/>
      </top>
      <bottom style="medium">
        <color rgb="FF00244D"/>
      </bottom>
      <diagonal/>
    </border>
    <border>
      <left/>
      <right style="thick">
        <color theme="7"/>
      </right>
      <top style="medium">
        <color theme="7"/>
      </top>
      <bottom/>
      <diagonal/>
    </border>
    <border>
      <left/>
      <right style="thick">
        <color theme="7"/>
      </right>
      <top/>
      <bottom style="medium">
        <color theme="7"/>
      </bottom>
      <diagonal/>
    </border>
    <border>
      <left/>
      <right/>
      <top/>
      <bottom style="thick">
        <color theme="7"/>
      </bottom>
      <diagonal/>
    </border>
    <border>
      <left style="medium">
        <color theme="7"/>
      </left>
      <right/>
      <top/>
      <bottom style="thick">
        <color theme="7"/>
      </bottom>
      <diagonal/>
    </border>
    <border>
      <left/>
      <right style="medium">
        <color theme="7"/>
      </right>
      <top/>
      <bottom style="thick">
        <color theme="7"/>
      </bottom>
      <diagonal/>
    </border>
    <border>
      <left/>
      <right style="thick">
        <color theme="7"/>
      </right>
      <top/>
      <bottom style="thick">
        <color theme="7"/>
      </bottom>
      <diagonal/>
    </border>
    <border>
      <left style="thick">
        <color theme="7"/>
      </left>
      <right/>
      <top style="medium">
        <color theme="7"/>
      </top>
      <bottom style="medium">
        <color theme="7"/>
      </bottom>
      <diagonal/>
    </border>
    <border>
      <left style="thick">
        <color theme="7"/>
      </left>
      <right/>
      <top style="medium">
        <color theme="7"/>
      </top>
      <bottom style="thick">
        <color theme="7"/>
      </bottom>
      <diagonal/>
    </border>
    <border>
      <left style="thick">
        <color theme="7"/>
      </left>
      <right style="medium">
        <color rgb="FF8D8473"/>
      </right>
      <top style="thick">
        <color theme="7"/>
      </top>
      <bottom style="medium">
        <color theme="7"/>
      </bottom>
      <diagonal/>
    </border>
    <border>
      <left style="medium">
        <color rgb="FF8D8473"/>
      </left>
      <right style="thick">
        <color theme="7"/>
      </right>
      <top style="thick">
        <color theme="7"/>
      </top>
      <bottom style="medium">
        <color theme="7"/>
      </bottom>
      <diagonal/>
    </border>
    <border>
      <left style="thick">
        <color theme="7"/>
      </left>
      <right style="medium">
        <color rgb="FF8D8473"/>
      </right>
      <top style="medium">
        <color theme="7"/>
      </top>
      <bottom style="thick">
        <color theme="7"/>
      </bottom>
      <diagonal/>
    </border>
    <border>
      <left style="medium">
        <color rgb="FF8D8473"/>
      </left>
      <right style="thick">
        <color theme="7"/>
      </right>
      <top style="medium">
        <color theme="7"/>
      </top>
      <bottom style="thick">
        <color theme="7"/>
      </bottom>
      <diagonal/>
    </border>
    <border>
      <left style="thick">
        <color theme="7"/>
      </left>
      <right style="medium">
        <color rgb="FF00244D"/>
      </right>
      <top style="medium">
        <color theme="7"/>
      </top>
      <bottom style="medium">
        <color theme="7"/>
      </bottom>
      <diagonal/>
    </border>
    <border>
      <left style="medium">
        <color rgb="FF00244D"/>
      </left>
      <right style="thick">
        <color theme="7"/>
      </right>
      <top style="medium">
        <color theme="7"/>
      </top>
      <bottom style="medium">
        <color theme="7"/>
      </bottom>
      <diagonal/>
    </border>
    <border>
      <left style="thick">
        <color theme="7"/>
      </left>
      <right style="medium">
        <color rgb="FF00244D"/>
      </right>
      <top style="medium">
        <color theme="7"/>
      </top>
      <bottom style="thick">
        <color theme="7"/>
      </bottom>
      <diagonal/>
    </border>
    <border>
      <left style="medium">
        <color rgb="FF00244D"/>
      </left>
      <right style="thick">
        <color theme="7"/>
      </right>
      <top style="medium">
        <color theme="7"/>
      </top>
      <bottom style="thick">
        <color theme="7"/>
      </bottom>
      <diagonal/>
    </border>
    <border>
      <left style="thick">
        <color theme="7"/>
      </left>
      <right/>
      <top style="thick">
        <color theme="7"/>
      </top>
      <bottom style="medium">
        <color theme="7"/>
      </bottom>
      <diagonal/>
    </border>
    <border>
      <left/>
      <right style="thick">
        <color theme="7"/>
      </right>
      <top style="thick">
        <color theme="7"/>
      </top>
      <bottom style="medium">
        <color theme="7"/>
      </bottom>
      <diagonal/>
    </border>
    <border>
      <left/>
      <right style="thick">
        <color theme="7"/>
      </right>
      <top style="medium">
        <color theme="7"/>
      </top>
      <bottom style="thick">
        <color theme="7"/>
      </bottom>
      <diagonal/>
    </border>
    <border>
      <left style="thick">
        <color theme="7"/>
      </left>
      <right style="thick">
        <color theme="7"/>
      </right>
      <top style="thick">
        <color theme="7"/>
      </top>
      <bottom style="medium">
        <color theme="7"/>
      </bottom>
      <diagonal/>
    </border>
    <border>
      <left style="thick">
        <color theme="7"/>
      </left>
      <right style="thick">
        <color theme="7"/>
      </right>
      <top style="medium">
        <color theme="7"/>
      </top>
      <bottom style="thick">
        <color theme="7"/>
      </bottom>
      <diagonal/>
    </border>
    <border>
      <left style="thick">
        <color theme="7"/>
      </left>
      <right style="thick">
        <color theme="7"/>
      </right>
      <top style="medium">
        <color theme="7"/>
      </top>
      <bottom style="medium">
        <color theme="7"/>
      </bottom>
      <diagonal/>
    </border>
    <border>
      <left/>
      <right style="thick">
        <color theme="7"/>
      </right>
      <top style="medium">
        <color theme="7"/>
      </top>
      <bottom style="medium">
        <color theme="7"/>
      </bottom>
      <diagonal/>
    </border>
    <border>
      <left style="thick">
        <color theme="7"/>
      </left>
      <right/>
      <top style="medium">
        <color theme="7"/>
      </top>
      <bottom/>
      <diagonal/>
    </border>
    <border>
      <left style="thick">
        <color theme="7"/>
      </left>
      <right/>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right/>
      <top style="medium">
        <color theme="7"/>
      </top>
      <bottom/>
      <diagonal/>
    </border>
    <border>
      <left style="thick">
        <color theme="7"/>
      </left>
      <right style="medium">
        <color theme="7"/>
      </right>
      <top style="thick">
        <color theme="7"/>
      </top>
      <bottom style="medium">
        <color theme="7"/>
      </bottom>
      <diagonal/>
    </border>
    <border>
      <left style="medium">
        <color theme="7"/>
      </left>
      <right style="thick">
        <color theme="7"/>
      </right>
      <top style="thick">
        <color theme="7"/>
      </top>
      <bottom style="medium">
        <color theme="7"/>
      </bottom>
      <diagonal/>
    </border>
    <border>
      <left style="medium">
        <color theme="7"/>
      </left>
      <right style="medium">
        <color rgb="FF00244D"/>
      </right>
      <top/>
      <bottom style="medium">
        <color theme="7"/>
      </bottom>
      <diagonal/>
    </border>
    <border>
      <left style="medium">
        <color rgb="FF00244D"/>
      </left>
      <right style="medium">
        <color theme="7"/>
      </right>
      <top/>
      <bottom style="medium">
        <color theme="7"/>
      </bottom>
      <diagonal/>
    </border>
    <border>
      <left/>
      <right/>
      <top style="thick">
        <color theme="7"/>
      </top>
      <bottom style="medium">
        <color theme="7"/>
      </bottom>
      <diagonal/>
    </border>
    <border>
      <left style="thick">
        <color theme="7"/>
      </left>
      <right style="thick">
        <color theme="7"/>
      </right>
      <top/>
      <bottom/>
      <diagonal/>
    </border>
  </borders>
  <cellStyleXfs count="12">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50" fillId="0" borderId="0"/>
    <xf numFmtId="0" fontId="52" fillId="0" borderId="0">
      <alignment vertical="center"/>
    </xf>
    <xf numFmtId="0" fontId="52" fillId="0" borderId="0">
      <alignment vertical="center"/>
    </xf>
    <xf numFmtId="0" fontId="53" fillId="0" borderId="0">
      <alignment vertical="center"/>
    </xf>
    <xf numFmtId="0" fontId="9" fillId="0" borderId="0"/>
    <xf numFmtId="0" fontId="63" fillId="0" borderId="0"/>
  </cellStyleXfs>
  <cellXfs count="606">
    <xf numFmtId="0" fontId="0" fillId="0" borderId="0" xfId="0"/>
    <xf numFmtId="0" fontId="3" fillId="0" borderId="0" xfId="0" applyFont="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Alignment="1">
      <alignment wrapText="1"/>
    </xf>
    <xf numFmtId="0" fontId="3" fillId="0" borderId="0" xfId="0" applyFont="1" applyAlignment="1">
      <alignment horizontal="right" indent="1"/>
    </xf>
    <xf numFmtId="0" fontId="3" fillId="0" borderId="0" xfId="0" applyFont="1" applyAlignment="1">
      <alignment horizontal="right" wrapText="1" indent="1"/>
    </xf>
    <xf numFmtId="0" fontId="5" fillId="0" borderId="0" xfId="0" applyFont="1"/>
    <xf numFmtId="0" fontId="13" fillId="0" borderId="0" xfId="0" applyFont="1"/>
    <xf numFmtId="0" fontId="8" fillId="0" borderId="0" xfId="0" applyFont="1"/>
    <xf numFmtId="166" fontId="3" fillId="0" borderId="0" xfId="0" applyNumberFormat="1" applyFont="1"/>
    <xf numFmtId="0" fontId="16" fillId="0" borderId="0" xfId="0" applyFont="1"/>
    <xf numFmtId="164" fontId="3" fillId="0" borderId="0" xfId="0" applyNumberFormat="1" applyFont="1"/>
    <xf numFmtId="0" fontId="18" fillId="0" borderId="0" xfId="0" applyFont="1"/>
    <xf numFmtId="0" fontId="19" fillId="0" borderId="0" xfId="0" applyFont="1" applyAlignment="1">
      <alignment horizontal="right" indent="1"/>
    </xf>
    <xf numFmtId="0" fontId="5" fillId="0" borderId="0" xfId="0" applyFont="1" applyAlignment="1">
      <alignment horizontal="right" indent="1"/>
    </xf>
    <xf numFmtId="2" fontId="5" fillId="0" borderId="0" xfId="0" applyNumberFormat="1" applyFont="1" applyAlignment="1">
      <alignment horizontal="center"/>
    </xf>
    <xf numFmtId="169" fontId="3" fillId="0" borderId="0" xfId="0" applyNumberFormat="1" applyFont="1"/>
    <xf numFmtId="170" fontId="20" fillId="0" borderId="0" xfId="4" applyNumberFormat="1" applyFont="1" applyAlignment="1">
      <alignment horizontal="right"/>
    </xf>
    <xf numFmtId="0" fontId="3" fillId="0" borderId="0" xfId="0" applyFont="1" applyAlignment="1">
      <alignment vertical="center"/>
    </xf>
    <xf numFmtId="0" fontId="7" fillId="2" borderId="0" xfId="0" applyFont="1" applyFill="1" applyAlignment="1">
      <alignment horizontal="center" vertical="center"/>
    </xf>
    <xf numFmtId="166" fontId="3" fillId="0" borderId="0" xfId="0" applyNumberFormat="1" applyFont="1" applyAlignment="1">
      <alignment horizontal="right" indent="1"/>
    </xf>
    <xf numFmtId="0" fontId="8" fillId="2" borderId="0" xfId="0" applyFont="1" applyFill="1"/>
    <xf numFmtId="171" fontId="3" fillId="0" borderId="0" xfId="0" applyNumberFormat="1" applyFont="1"/>
    <xf numFmtId="0" fontId="21" fillId="0" borderId="0" xfId="0" applyFont="1"/>
    <xf numFmtId="0" fontId="22" fillId="0" borderId="0" xfId="0" applyFont="1" applyAlignment="1">
      <alignment vertical="center"/>
    </xf>
    <xf numFmtId="0" fontId="3"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0" fontId="5" fillId="0" borderId="0" xfId="0" applyFont="1" applyAlignment="1">
      <alignment horizontal="left"/>
    </xf>
    <xf numFmtId="1" fontId="3" fillId="0" borderId="0" xfId="0" applyNumberFormat="1" applyFont="1"/>
    <xf numFmtId="169" fontId="16" fillId="0" borderId="0" xfId="0" applyNumberFormat="1" applyFont="1"/>
    <xf numFmtId="0" fontId="19" fillId="0" borderId="0" xfId="0" applyFont="1"/>
    <xf numFmtId="0" fontId="3" fillId="0" borderId="0" xfId="0" applyFont="1" applyAlignment="1">
      <alignment horizontal="left"/>
    </xf>
    <xf numFmtId="167" fontId="8" fillId="0" borderId="0" xfId="0" applyNumberFormat="1" applyFont="1" applyAlignment="1">
      <alignment horizontal="center"/>
    </xf>
    <xf numFmtId="0" fontId="25" fillId="0" borderId="0" xfId="0" applyFont="1"/>
    <xf numFmtId="1" fontId="29" fillId="0" borderId="0" xfId="0" applyNumberFormat="1" applyFont="1" applyAlignment="1">
      <alignment horizontal="center"/>
    </xf>
    <xf numFmtId="0" fontId="24" fillId="0" borderId="0" xfId="0" applyFont="1"/>
    <xf numFmtId="0" fontId="3" fillId="3" borderId="0" xfId="0" applyFont="1" applyFill="1"/>
    <xf numFmtId="0" fontId="30" fillId="0" borderId="0" xfId="0" applyFont="1"/>
    <xf numFmtId="0" fontId="25" fillId="0" borderId="0" xfId="0" applyFont="1" applyAlignment="1">
      <alignment horizontal="right" indent="1"/>
    </xf>
    <xf numFmtId="0" fontId="25" fillId="0" borderId="0" xfId="0" applyFont="1" applyAlignment="1">
      <alignment horizontal="left"/>
    </xf>
    <xf numFmtId="0" fontId="31" fillId="0" borderId="0" xfId="0" applyFont="1"/>
    <xf numFmtId="0" fontId="32" fillId="0" borderId="0" xfId="1" applyFont="1" applyFill="1" applyBorder="1"/>
    <xf numFmtId="1" fontId="30" fillId="0" borderId="0" xfId="0" applyNumberFormat="1" applyFont="1" applyAlignment="1">
      <alignment horizontal="center"/>
    </xf>
    <xf numFmtId="0" fontId="9" fillId="0" borderId="0" xfId="3" applyFont="1"/>
    <xf numFmtId="166" fontId="31" fillId="0" borderId="0" xfId="0" applyNumberFormat="1" applyFont="1"/>
    <xf numFmtId="169" fontId="31" fillId="0" borderId="0" xfId="0" applyNumberFormat="1" applyFont="1"/>
    <xf numFmtId="14" fontId="31" fillId="0" borderId="0" xfId="0" applyNumberFormat="1" applyFont="1"/>
    <xf numFmtId="166" fontId="8" fillId="0" borderId="0" xfId="0" applyNumberFormat="1" applyFont="1"/>
    <xf numFmtId="0" fontId="2" fillId="0" borderId="0" xfId="1" applyFill="1" applyBorder="1"/>
    <xf numFmtId="0" fontId="25" fillId="0" borderId="0" xfId="0" applyFont="1" applyAlignment="1">
      <alignment horizontal="left" wrapText="1"/>
    </xf>
    <xf numFmtId="3" fontId="0" fillId="0" borderId="0" xfId="0" applyNumberFormat="1"/>
    <xf numFmtId="0" fontId="3" fillId="0" borderId="0" xfId="0" applyFont="1" applyAlignment="1">
      <alignment horizontal="left" vertical="center"/>
    </xf>
    <xf numFmtId="0" fontId="33" fillId="0" borderId="12" xfId="0" applyFont="1" applyBorder="1"/>
    <xf numFmtId="0" fontId="33" fillId="0" borderId="1" xfId="0" applyFont="1" applyBorder="1"/>
    <xf numFmtId="0" fontId="33" fillId="0" borderId="13" xfId="0" applyFont="1" applyBorder="1"/>
    <xf numFmtId="0" fontId="34" fillId="5" borderId="15" xfId="0" applyFont="1" applyFill="1" applyBorder="1" applyAlignment="1">
      <alignment horizontal="center" vertical="center"/>
    </xf>
    <xf numFmtId="0" fontId="33" fillId="0" borderId="14" xfId="0" applyFont="1" applyBorder="1"/>
    <xf numFmtId="0" fontId="33" fillId="0" borderId="0" xfId="0" applyFont="1"/>
    <xf numFmtId="0" fontId="33" fillId="0" borderId="15" xfId="0" applyFont="1" applyBorder="1"/>
    <xf numFmtId="0" fontId="35" fillId="5" borderId="15" xfId="0" applyFont="1" applyFill="1" applyBorder="1"/>
    <xf numFmtId="0" fontId="33" fillId="0" borderId="15" xfId="1" applyFont="1" applyBorder="1" applyAlignment="1" applyProtection="1">
      <alignment horizontal="justify" vertical="top" wrapText="1"/>
    </xf>
    <xf numFmtId="0" fontId="38" fillId="0" borderId="0" xfId="1" applyFont="1" applyBorder="1" applyAlignment="1" applyProtection="1">
      <alignment horizontal="left" indent="2"/>
    </xf>
    <xf numFmtId="0" fontId="36" fillId="0" borderId="14" xfId="0" applyFont="1" applyBorder="1"/>
    <xf numFmtId="0" fontId="33" fillId="0" borderId="16" xfId="0" applyFont="1" applyBorder="1"/>
    <xf numFmtId="0" fontId="33" fillId="0" borderId="18" xfId="0" applyFont="1" applyBorder="1"/>
    <xf numFmtId="0" fontId="38" fillId="0" borderId="0" xfId="1" applyFont="1" applyFill="1" applyBorder="1" applyAlignment="1" applyProtection="1"/>
    <xf numFmtId="166" fontId="25" fillId="0" borderId="0" xfId="0" applyNumberFormat="1" applyFont="1"/>
    <xf numFmtId="0" fontId="28" fillId="0" borderId="0" xfId="0" applyFont="1"/>
    <xf numFmtId="0" fontId="3" fillId="0" borderId="8" xfId="0" applyFont="1" applyBorder="1" applyAlignment="1">
      <alignment horizontal="left" vertical="center" wrapText="1"/>
    </xf>
    <xf numFmtId="0" fontId="8" fillId="0" borderId="8" xfId="0" applyFont="1" applyBorder="1" applyAlignment="1">
      <alignment horizontal="left" vertical="center" wrapText="1"/>
    </xf>
    <xf numFmtId="0" fontId="3" fillId="0" borderId="8" xfId="0" applyFont="1" applyBorder="1" applyAlignment="1">
      <alignment horizontal="center" vertical="center" wrapText="1"/>
    </xf>
    <xf numFmtId="164" fontId="8" fillId="0" borderId="8" xfId="0" applyNumberFormat="1" applyFont="1" applyBorder="1" applyAlignment="1">
      <alignment vertical="center" wrapText="1"/>
    </xf>
    <xf numFmtId="0" fontId="8" fillId="0" borderId="8" xfId="0" applyFont="1" applyBorder="1" applyAlignment="1">
      <alignment vertical="center"/>
    </xf>
    <xf numFmtId="0" fontId="3" fillId="6" borderId="8" xfId="0" applyFont="1" applyFill="1" applyBorder="1" applyAlignment="1">
      <alignment horizontal="center" vertical="center" wrapText="1"/>
    </xf>
    <xf numFmtId="0" fontId="3" fillId="3" borderId="14" xfId="0" applyFont="1" applyFill="1" applyBorder="1" applyAlignment="1">
      <alignment vertical="center" wrapText="1"/>
    </xf>
    <xf numFmtId="0" fontId="3" fillId="0" borderId="33" xfId="0" applyFont="1" applyBorder="1" applyAlignment="1">
      <alignment vertical="center" wrapText="1"/>
    </xf>
    <xf numFmtId="164" fontId="8" fillId="0" borderId="34" xfId="0" applyNumberFormat="1" applyFont="1" applyBorder="1" applyAlignment="1">
      <alignment vertical="center" wrapText="1"/>
    </xf>
    <xf numFmtId="0" fontId="8" fillId="0" borderId="33"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xf>
    <xf numFmtId="0" fontId="8" fillId="0" borderId="48" xfId="0" applyFont="1" applyBorder="1" applyAlignment="1">
      <alignment horizontal="left" vertical="center" wrapText="1"/>
    </xf>
    <xf numFmtId="0" fontId="8" fillId="0" borderId="49" xfId="0" applyFont="1" applyBorder="1" applyAlignment="1">
      <alignment vertical="center"/>
    </xf>
    <xf numFmtId="0" fontId="26" fillId="3" borderId="18" xfId="0" applyFont="1" applyFill="1" applyBorder="1" applyAlignment="1">
      <alignment vertical="top" wrapText="1"/>
    </xf>
    <xf numFmtId="0" fontId="3" fillId="0" borderId="29" xfId="0" applyFont="1" applyBorder="1"/>
    <xf numFmtId="0" fontId="3" fillId="6" borderId="81" xfId="0" applyFont="1" applyFill="1" applyBorder="1"/>
    <xf numFmtId="0" fontId="3" fillId="7"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25" fillId="8" borderId="38" xfId="0" applyFont="1" applyFill="1" applyBorder="1" applyAlignment="1">
      <alignment horizontal="center" vertical="center" wrapText="1"/>
    </xf>
    <xf numFmtId="0" fontId="8" fillId="8" borderId="34" xfId="0" applyFont="1" applyFill="1" applyBorder="1" applyAlignment="1">
      <alignment horizontal="center" vertical="center"/>
    </xf>
    <xf numFmtId="0" fontId="3" fillId="8" borderId="82" xfId="0" applyFont="1" applyFill="1" applyBorder="1"/>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164" fontId="8" fillId="8" borderId="8" xfId="0" applyNumberFormat="1" applyFont="1" applyFill="1" applyBorder="1" applyAlignment="1">
      <alignment vertical="center" wrapText="1"/>
    </xf>
    <xf numFmtId="164" fontId="8" fillId="8" borderId="34" xfId="0" applyNumberFormat="1" applyFont="1" applyFill="1" applyBorder="1" applyAlignment="1">
      <alignment vertical="center" wrapText="1"/>
    </xf>
    <xf numFmtId="0" fontId="3" fillId="8" borderId="34" xfId="0" applyFont="1" applyFill="1" applyBorder="1" applyAlignment="1">
      <alignment horizontal="center" vertical="center"/>
    </xf>
    <xf numFmtId="169" fontId="3" fillId="8" borderId="36" xfId="0" applyNumberFormat="1" applyFont="1" applyFill="1" applyBorder="1" applyAlignment="1">
      <alignment horizontal="center" vertical="center"/>
    </xf>
    <xf numFmtId="169" fontId="25" fillId="8" borderId="38" xfId="0" applyNumberFormat="1" applyFont="1" applyFill="1" applyBorder="1" applyAlignment="1">
      <alignment horizontal="center" vertical="center"/>
    </xf>
    <xf numFmtId="172" fontId="26" fillId="8" borderId="38" xfId="0" applyNumberFormat="1" applyFont="1" applyFill="1" applyBorder="1" applyAlignment="1">
      <alignment horizontal="center" vertical="center" wrapText="1"/>
    </xf>
    <xf numFmtId="169" fontId="25" fillId="8" borderId="38" xfId="0" applyNumberFormat="1" applyFont="1" applyFill="1" applyBorder="1" applyAlignment="1">
      <alignment horizontal="center" vertical="center" wrapText="1"/>
    </xf>
    <xf numFmtId="169" fontId="3" fillId="8" borderId="36" xfId="0" applyNumberFormat="1" applyFont="1" applyFill="1" applyBorder="1" applyAlignment="1">
      <alignment horizontal="center" vertical="center" wrapText="1"/>
    </xf>
    <xf numFmtId="0" fontId="40" fillId="8" borderId="36" xfId="0" applyFont="1" applyFill="1" applyBorder="1" applyAlignment="1">
      <alignment horizontal="center" vertical="center"/>
    </xf>
    <xf numFmtId="0" fontId="40" fillId="8" borderId="40" xfId="0" applyFont="1" applyFill="1" applyBorder="1" applyAlignment="1">
      <alignment horizontal="center" vertical="center" wrapText="1"/>
    </xf>
    <xf numFmtId="0" fontId="41" fillId="8" borderId="40" xfId="0" applyFont="1" applyFill="1" applyBorder="1" applyAlignment="1">
      <alignment horizontal="center" vertical="center" wrapText="1"/>
    </xf>
    <xf numFmtId="0" fontId="41" fillId="8" borderId="43" xfId="0" applyFont="1" applyFill="1" applyBorder="1" applyAlignment="1">
      <alignment horizontal="center" vertical="center" wrapText="1"/>
    </xf>
    <xf numFmtId="1" fontId="3" fillId="8" borderId="36" xfId="0" applyNumberFormat="1" applyFont="1" applyFill="1" applyBorder="1" applyAlignment="1">
      <alignment horizontal="center" vertical="center" wrapText="1"/>
    </xf>
    <xf numFmtId="1" fontId="3" fillId="8" borderId="40" xfId="0" applyNumberFormat="1" applyFont="1" applyFill="1" applyBorder="1" applyAlignment="1">
      <alignment horizontal="center" vertical="center" wrapText="1"/>
    </xf>
    <xf numFmtId="1" fontId="25" fillId="8" borderId="38" xfId="0" applyNumberFormat="1" applyFont="1" applyFill="1" applyBorder="1" applyAlignment="1">
      <alignment horizontal="center" vertical="center" wrapText="1"/>
    </xf>
    <xf numFmtId="1" fontId="8" fillId="8" borderId="36" xfId="0" applyNumberFormat="1" applyFont="1" applyFill="1" applyBorder="1" applyAlignment="1">
      <alignment horizontal="center" vertical="center" wrapText="1"/>
    </xf>
    <xf numFmtId="1" fontId="8" fillId="8" borderId="40" xfId="0" applyNumberFormat="1" applyFont="1" applyFill="1" applyBorder="1" applyAlignment="1">
      <alignment horizontal="center" vertical="center" wrapText="1"/>
    </xf>
    <xf numFmtId="0" fontId="26" fillId="8" borderId="38" xfId="0" applyFont="1" applyFill="1" applyBorder="1" applyAlignment="1">
      <alignment horizontal="center" vertical="center"/>
    </xf>
    <xf numFmtId="0" fontId="41" fillId="8" borderId="40" xfId="0" applyFont="1" applyFill="1" applyBorder="1" applyAlignment="1">
      <alignment horizontal="center" vertical="center"/>
    </xf>
    <xf numFmtId="0" fontId="41" fillId="8" borderId="38" xfId="0" applyFont="1" applyFill="1" applyBorder="1" applyAlignment="1">
      <alignment horizontal="center" vertical="center" wrapText="1"/>
    </xf>
    <xf numFmtId="0" fontId="8" fillId="8" borderId="62" xfId="0" applyFont="1" applyFill="1" applyBorder="1" applyAlignment="1">
      <alignment horizontal="center" vertical="center"/>
    </xf>
    <xf numFmtId="0" fontId="8" fillId="8" borderId="54" xfId="0" applyFont="1" applyFill="1" applyBorder="1" applyAlignment="1">
      <alignment horizontal="center" vertical="center"/>
    </xf>
    <xf numFmtId="169" fontId="25" fillId="8" borderId="63" xfId="0" applyNumberFormat="1" applyFont="1" applyFill="1" applyBorder="1" applyAlignment="1">
      <alignment horizontal="center" vertical="center"/>
    </xf>
    <xf numFmtId="0" fontId="46" fillId="8" borderId="34" xfId="0" applyFont="1" applyFill="1" applyBorder="1" applyAlignment="1">
      <alignment horizontal="center" vertical="center"/>
    </xf>
    <xf numFmtId="169" fontId="3" fillId="8" borderId="40" xfId="0" applyNumberFormat="1" applyFont="1" applyFill="1" applyBorder="1" applyAlignment="1">
      <alignment horizontal="center" vertical="center" wrapText="1"/>
    </xf>
    <xf numFmtId="169" fontId="40" fillId="8" borderId="36" xfId="0" applyNumberFormat="1" applyFont="1" applyFill="1" applyBorder="1" applyAlignment="1">
      <alignment horizontal="center" vertical="center"/>
    </xf>
    <xf numFmtId="169" fontId="41" fillId="8" borderId="38" xfId="0" applyNumberFormat="1" applyFont="1" applyFill="1" applyBorder="1" applyAlignment="1">
      <alignment horizontal="center" vertical="center"/>
    </xf>
    <xf numFmtId="169" fontId="25" fillId="8" borderId="40" xfId="0" applyNumberFormat="1" applyFont="1" applyFill="1" applyBorder="1" applyAlignment="1">
      <alignment horizontal="center" vertical="center"/>
    </xf>
    <xf numFmtId="0" fontId="46" fillId="6" borderId="8" xfId="0" applyFont="1" applyFill="1" applyBorder="1" applyAlignment="1">
      <alignment horizontal="center" vertical="center"/>
    </xf>
    <xf numFmtId="1" fontId="3" fillId="6" borderId="22" xfId="0" applyNumberFormat="1" applyFont="1" applyFill="1" applyBorder="1" applyAlignment="1">
      <alignment horizontal="center" vertical="center" wrapText="1"/>
    </xf>
    <xf numFmtId="0" fontId="40" fillId="6" borderId="22" xfId="0" applyFont="1" applyFill="1" applyBorder="1" applyAlignment="1">
      <alignment horizontal="center" vertical="center" wrapText="1"/>
    </xf>
    <xf numFmtId="0" fontId="41" fillId="6" borderId="23" xfId="0" applyFont="1" applyFill="1" applyBorder="1" applyAlignment="1">
      <alignment horizontal="center" vertical="center" wrapText="1"/>
    </xf>
    <xf numFmtId="1" fontId="3" fillId="6" borderId="24" xfId="0" applyNumberFormat="1" applyFont="1" applyFill="1" applyBorder="1" applyAlignment="1">
      <alignment horizontal="center" vertical="center" wrapText="1"/>
    </xf>
    <xf numFmtId="0" fontId="25" fillId="6" borderId="24" xfId="0" applyFont="1" applyFill="1" applyBorder="1" applyAlignment="1">
      <alignment horizontal="center" vertical="center" wrapText="1"/>
    </xf>
    <xf numFmtId="1" fontId="8" fillId="6" borderId="22" xfId="0" applyNumberFormat="1" applyFont="1" applyFill="1" applyBorder="1" applyAlignment="1">
      <alignment horizontal="center" vertical="center" wrapText="1"/>
    </xf>
    <xf numFmtId="0" fontId="3" fillId="6" borderId="22" xfId="0" applyFont="1" applyFill="1" applyBorder="1" applyAlignment="1">
      <alignment horizontal="center" vertical="center"/>
    </xf>
    <xf numFmtId="169" fontId="25" fillId="6" borderId="23" xfId="0" applyNumberFormat="1" applyFont="1" applyFill="1" applyBorder="1" applyAlignment="1">
      <alignment horizontal="center" vertical="center"/>
    </xf>
    <xf numFmtId="1" fontId="25" fillId="6" borderId="23" xfId="0" applyNumberFormat="1" applyFont="1" applyFill="1" applyBorder="1" applyAlignment="1">
      <alignment horizontal="center" vertical="center" wrapText="1"/>
    </xf>
    <xf numFmtId="1" fontId="8" fillId="6" borderId="24" xfId="0" applyNumberFormat="1" applyFont="1" applyFill="1" applyBorder="1" applyAlignment="1">
      <alignment horizontal="center" vertical="center" wrapText="1"/>
    </xf>
    <xf numFmtId="1" fontId="26" fillId="6" borderId="23" xfId="0" applyNumberFormat="1" applyFont="1" applyFill="1" applyBorder="1" applyAlignment="1">
      <alignment horizontal="center" vertical="center"/>
    </xf>
    <xf numFmtId="0" fontId="40" fillId="6" borderId="22" xfId="0" applyFont="1" applyFill="1" applyBorder="1" applyAlignment="1">
      <alignment horizontal="center" vertical="center"/>
    </xf>
    <xf numFmtId="0" fontId="40" fillId="6" borderId="24" xfId="0" applyFont="1" applyFill="1" applyBorder="1" applyAlignment="1">
      <alignment horizontal="center" vertical="center" wrapText="1"/>
    </xf>
    <xf numFmtId="0" fontId="41" fillId="6" borderId="24"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33" xfId="0" applyFont="1" applyFill="1" applyBorder="1" applyAlignment="1">
      <alignment horizontal="center" vertical="center" wrapText="1"/>
    </xf>
    <xf numFmtId="0" fontId="33" fillId="7" borderId="33" xfId="0" applyFont="1" applyFill="1" applyBorder="1" applyAlignment="1">
      <alignment horizontal="center" vertical="center" wrapText="1"/>
    </xf>
    <xf numFmtId="0" fontId="33" fillId="7" borderId="8" xfId="0" applyFont="1" applyFill="1" applyBorder="1" applyAlignment="1">
      <alignment horizontal="center" vertical="center" wrapText="1"/>
    </xf>
    <xf numFmtId="0" fontId="41" fillId="6" borderId="24" xfId="0" applyFont="1" applyFill="1" applyBorder="1" applyAlignment="1">
      <alignment horizontal="center" vertical="center" wrapText="1"/>
    </xf>
    <xf numFmtId="0" fontId="41" fillId="6" borderId="42" xfId="0" applyFont="1" applyFill="1" applyBorder="1" applyAlignment="1">
      <alignment horizontal="center" vertical="center" wrapText="1"/>
    </xf>
    <xf numFmtId="164" fontId="8" fillId="6" borderId="8" xfId="0" applyNumberFormat="1" applyFont="1" applyFill="1" applyBorder="1" applyAlignment="1">
      <alignment vertical="center" wrapText="1"/>
    </xf>
    <xf numFmtId="164" fontId="8" fillId="6" borderId="34" xfId="0" applyNumberFormat="1" applyFont="1" applyFill="1" applyBorder="1" applyAlignment="1">
      <alignment vertical="center" wrapText="1"/>
    </xf>
    <xf numFmtId="164" fontId="8" fillId="6" borderId="8" xfId="0" applyNumberFormat="1" applyFont="1" applyFill="1" applyBorder="1" applyAlignment="1">
      <alignment vertical="center"/>
    </xf>
    <xf numFmtId="0" fontId="6" fillId="9" borderId="45" xfId="0" applyFont="1" applyFill="1" applyBorder="1" applyAlignment="1">
      <alignment horizontal="left" vertical="center"/>
    </xf>
    <xf numFmtId="0" fontId="14" fillId="9" borderId="46" xfId="0" applyFont="1" applyFill="1" applyBorder="1" applyAlignment="1">
      <alignment horizontal="left" vertical="center"/>
    </xf>
    <xf numFmtId="0" fontId="3" fillId="6" borderId="83" xfId="0" applyFont="1" applyFill="1" applyBorder="1"/>
    <xf numFmtId="0" fontId="3" fillId="10" borderId="81" xfId="0" applyFont="1" applyFill="1" applyBorder="1"/>
    <xf numFmtId="164" fontId="8" fillId="6" borderId="68" xfId="0" applyNumberFormat="1" applyFont="1" applyFill="1" applyBorder="1" applyAlignment="1">
      <alignment horizontal="center" vertical="center"/>
    </xf>
    <xf numFmtId="164" fontId="8" fillId="8" borderId="34" xfId="0" applyNumberFormat="1" applyFont="1" applyFill="1" applyBorder="1" applyAlignment="1">
      <alignment horizontal="center" vertical="center"/>
    </xf>
    <xf numFmtId="164" fontId="8" fillId="6" borderId="69" xfId="0" applyNumberFormat="1" applyFont="1" applyFill="1" applyBorder="1" applyAlignment="1">
      <alignment horizontal="center" vertical="center"/>
    </xf>
    <xf numFmtId="164" fontId="8" fillId="8" borderId="49" xfId="0" applyNumberFormat="1" applyFont="1" applyFill="1" applyBorder="1" applyAlignment="1">
      <alignment horizontal="center" vertical="center"/>
    </xf>
    <xf numFmtId="0" fontId="46" fillId="9" borderId="33" xfId="0" applyFont="1" applyFill="1" applyBorder="1" applyAlignment="1">
      <alignment horizontal="center" vertical="center" wrapText="1"/>
    </xf>
    <xf numFmtId="0" fontId="46" fillId="9" borderId="8" xfId="0" applyFont="1" applyFill="1" applyBorder="1" applyAlignment="1">
      <alignment horizontal="center" vertical="center" wrapText="1"/>
    </xf>
    <xf numFmtId="0" fontId="25" fillId="8" borderId="40" xfId="0" applyFont="1" applyFill="1" applyBorder="1" applyAlignment="1">
      <alignment horizontal="center" vertical="center" wrapText="1"/>
    </xf>
    <xf numFmtId="0" fontId="3" fillId="0" borderId="33" xfId="0" applyFont="1" applyBorder="1" applyAlignment="1">
      <alignment horizontal="center" vertical="center" wrapText="1"/>
    </xf>
    <xf numFmtId="0" fontId="8" fillId="0" borderId="35" xfId="0" applyFont="1" applyBorder="1" applyAlignment="1">
      <alignment horizontal="right" vertical="center" wrapText="1"/>
    </xf>
    <xf numFmtId="0" fontId="3" fillId="3" borderId="39" xfId="0" applyFont="1" applyFill="1" applyBorder="1" applyAlignment="1">
      <alignment horizontal="right" vertical="center" wrapText="1"/>
    </xf>
    <xf numFmtId="0" fontId="25" fillId="3" borderId="37"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6" fillId="3" borderId="37" xfId="0" applyFont="1" applyFill="1" applyBorder="1" applyAlignment="1">
      <alignment horizontal="right" vertical="center" wrapText="1"/>
    </xf>
    <xf numFmtId="164" fontId="8" fillId="10" borderId="8" xfId="0" applyNumberFormat="1" applyFont="1" applyFill="1" applyBorder="1" applyAlignment="1">
      <alignment horizontal="right" vertical="center"/>
    </xf>
    <xf numFmtId="164" fontId="8" fillId="0" borderId="8" xfId="0" applyNumberFormat="1" applyFont="1" applyBorder="1" applyAlignment="1">
      <alignment horizontal="right" vertical="center"/>
    </xf>
    <xf numFmtId="164" fontId="8" fillId="0" borderId="34" xfId="0" applyNumberFormat="1" applyFont="1" applyBorder="1" applyAlignment="1">
      <alignment horizontal="right" vertical="center"/>
    </xf>
    <xf numFmtId="164" fontId="8" fillId="0" borderId="8" xfId="0" applyNumberFormat="1" applyFont="1" applyBorder="1" applyAlignment="1">
      <alignment horizontal="right" vertical="center" wrapText="1"/>
    </xf>
    <xf numFmtId="164" fontId="8" fillId="0" borderId="34" xfId="0" applyNumberFormat="1" applyFont="1" applyBorder="1" applyAlignment="1">
      <alignment horizontal="right" vertical="center" wrapText="1"/>
    </xf>
    <xf numFmtId="169" fontId="3" fillId="8" borderId="40" xfId="0" applyNumberFormat="1" applyFont="1" applyFill="1" applyBorder="1" applyAlignment="1">
      <alignment horizontal="center" vertical="center"/>
    </xf>
    <xf numFmtId="0" fontId="25" fillId="3" borderId="23" xfId="0" applyFont="1" applyFill="1" applyBorder="1" applyAlignment="1">
      <alignment horizontal="justify" vertical="center" wrapText="1"/>
    </xf>
    <xf numFmtId="172" fontId="8" fillId="8" borderId="40" xfId="0" applyNumberFormat="1" applyFont="1" applyFill="1" applyBorder="1" applyAlignment="1">
      <alignment horizontal="center" vertical="center" wrapText="1"/>
    </xf>
    <xf numFmtId="0" fontId="26" fillId="3" borderId="23" xfId="0" applyFont="1" applyFill="1" applyBorder="1" applyAlignment="1">
      <alignment horizontal="justify" vertical="center" wrapText="1"/>
    </xf>
    <xf numFmtId="0" fontId="43" fillId="0" borderId="0" xfId="0" applyFont="1" applyAlignment="1">
      <alignment vertical="center"/>
    </xf>
    <xf numFmtId="0" fontId="23" fillId="0" borderId="0" xfId="0" applyFont="1" applyAlignment="1">
      <alignment vertical="center"/>
    </xf>
    <xf numFmtId="0" fontId="13" fillId="0" borderId="0" xfId="0" applyFont="1" applyAlignment="1">
      <alignment vertical="center"/>
    </xf>
    <xf numFmtId="0" fontId="44" fillId="0" borderId="0" xfId="0" applyFont="1" applyAlignment="1">
      <alignment vertical="center"/>
    </xf>
    <xf numFmtId="0" fontId="3" fillId="0" borderId="0" xfId="0" applyFont="1" applyAlignment="1">
      <alignment horizontal="right" vertical="center"/>
    </xf>
    <xf numFmtId="173" fontId="8" fillId="6" borderId="33" xfId="0" applyNumberFormat="1" applyFont="1" applyFill="1" applyBorder="1" applyAlignment="1">
      <alignment horizontal="center" vertical="center"/>
    </xf>
    <xf numFmtId="173" fontId="8" fillId="8" borderId="84" xfId="0" applyNumberFormat="1" applyFont="1" applyFill="1" applyBorder="1" applyAlignment="1">
      <alignment horizontal="center" vertical="center"/>
    </xf>
    <xf numFmtId="0" fontId="3" fillId="3" borderId="28" xfId="0" applyFont="1" applyFill="1" applyBorder="1" applyAlignment="1">
      <alignment horizontal="right" vertical="center" wrapText="1"/>
    </xf>
    <xf numFmtId="0" fontId="25" fillId="3" borderId="18" xfId="0" applyFont="1" applyFill="1" applyBorder="1" applyAlignment="1">
      <alignment horizontal="right" vertical="center" wrapText="1"/>
    </xf>
    <xf numFmtId="174" fontId="8" fillId="0" borderId="8" xfId="0" applyNumberFormat="1" applyFont="1" applyBorder="1" applyAlignment="1">
      <alignment vertical="center"/>
    </xf>
    <xf numFmtId="174" fontId="8" fillId="0" borderId="34" xfId="0" applyNumberFormat="1" applyFont="1" applyBorder="1" applyAlignment="1">
      <alignment vertical="center"/>
    </xf>
    <xf numFmtId="0" fontId="4" fillId="0" borderId="0" xfId="1" applyFont="1" applyFill="1" applyBorder="1" applyAlignment="1" applyProtection="1">
      <alignment vertical="center"/>
    </xf>
    <xf numFmtId="0" fontId="5" fillId="0" borderId="0" xfId="0" applyFont="1" applyAlignment="1">
      <alignment vertical="center"/>
    </xf>
    <xf numFmtId="0" fontId="3" fillId="7" borderId="8" xfId="0" applyFont="1" applyFill="1" applyBorder="1" applyAlignment="1">
      <alignment horizontal="left" vertical="center" wrapText="1"/>
    </xf>
    <xf numFmtId="0" fontId="25" fillId="3" borderId="23" xfId="0" applyFont="1" applyFill="1" applyBorder="1" applyAlignment="1">
      <alignment vertical="center" wrapText="1"/>
    </xf>
    <xf numFmtId="0" fontId="3" fillId="3" borderId="27" xfId="0" applyFont="1" applyFill="1" applyBorder="1" applyAlignment="1">
      <alignment vertical="center" wrapText="1"/>
    </xf>
    <xf numFmtId="0" fontId="3" fillId="3" borderId="28" xfId="0" applyFont="1" applyFill="1" applyBorder="1" applyAlignment="1">
      <alignment vertical="center" wrapText="1"/>
    </xf>
    <xf numFmtId="0" fontId="3" fillId="3" borderId="15" xfId="0" applyFont="1" applyFill="1" applyBorder="1" applyAlignment="1">
      <alignment vertical="center" wrapText="1"/>
    </xf>
    <xf numFmtId="0" fontId="3" fillId="3" borderId="65" xfId="0" applyFont="1" applyFill="1" applyBorder="1" applyAlignment="1">
      <alignment vertical="center" wrapText="1"/>
    </xf>
    <xf numFmtId="0" fontId="3" fillId="3" borderId="66" xfId="0" applyFont="1" applyFill="1" applyBorder="1" applyAlignment="1">
      <alignment vertical="center" wrapText="1"/>
    </xf>
    <xf numFmtId="0" fontId="23"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vertical="center"/>
    </xf>
    <xf numFmtId="0" fontId="3" fillId="0" borderId="0" xfId="0" quotePrefix="1" applyFont="1" applyAlignment="1">
      <alignment horizontal="right" vertical="center"/>
    </xf>
    <xf numFmtId="0" fontId="16"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right" vertical="center" wrapText="1"/>
    </xf>
    <xf numFmtId="164" fontId="3"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8" fontId="3" fillId="0" borderId="0" xfId="0" applyNumberFormat="1" applyFont="1" applyAlignment="1">
      <alignment horizontal="center" vertical="center"/>
    </xf>
    <xf numFmtId="0" fontId="3" fillId="0" borderId="0" xfId="0" applyFont="1" applyAlignment="1">
      <alignment vertical="center" wrapText="1"/>
    </xf>
    <xf numFmtId="0" fontId="5" fillId="0" borderId="0" xfId="0" applyFont="1" applyAlignment="1">
      <alignment horizontal="left" vertical="center"/>
    </xf>
    <xf numFmtId="0" fontId="30" fillId="0" borderId="0" xfId="0" applyFont="1" applyAlignment="1">
      <alignment vertical="center"/>
    </xf>
    <xf numFmtId="1" fontId="30" fillId="0" borderId="0" xfId="0" applyNumberFormat="1" applyFont="1" applyAlignment="1">
      <alignment horizontal="center" vertical="center"/>
    </xf>
    <xf numFmtId="0" fontId="8" fillId="0" borderId="0" xfId="0" applyFont="1" applyAlignment="1">
      <alignment vertical="center"/>
    </xf>
    <xf numFmtId="0" fontId="18" fillId="0" borderId="0" xfId="0" applyFont="1" applyAlignment="1">
      <alignment vertical="center"/>
    </xf>
    <xf numFmtId="175" fontId="51" fillId="0" borderId="0" xfId="6" applyNumberFormat="1" applyFont="1" applyAlignment="1">
      <alignment horizontal="right" vertical="center" shrinkToFit="1"/>
    </xf>
    <xf numFmtId="170" fontId="51" fillId="0" borderId="0" xfId="6" applyNumberFormat="1" applyFont="1" applyAlignment="1">
      <alignment horizontal="right" vertical="center" shrinkToFit="1"/>
    </xf>
    <xf numFmtId="0" fontId="38" fillId="0" borderId="0" xfId="1" applyFont="1" applyFill="1" applyBorder="1" applyAlignment="1" applyProtection="1">
      <alignment horizontal="left" vertical="center"/>
    </xf>
    <xf numFmtId="0" fontId="3" fillId="0" borderId="8" xfId="0" applyFont="1" applyBorder="1" applyAlignment="1">
      <alignment vertical="center" wrapText="1"/>
    </xf>
    <xf numFmtId="0" fontId="54" fillId="0" borderId="89" xfId="0" applyFont="1" applyBorder="1" applyAlignment="1">
      <alignment vertical="center" wrapText="1"/>
    </xf>
    <xf numFmtId="0" fontId="25" fillId="0" borderId="8" xfId="0" applyFont="1" applyBorder="1" applyAlignment="1">
      <alignment horizontal="center" vertical="center" wrapText="1"/>
    </xf>
    <xf numFmtId="0" fontId="51" fillId="0" borderId="8" xfId="0" applyFont="1" applyBorder="1" applyAlignment="1">
      <alignment vertical="center" wrapText="1"/>
    </xf>
    <xf numFmtId="14" fontId="56" fillId="0" borderId="90" xfId="0" applyNumberFormat="1" applyFont="1" applyBorder="1" applyAlignment="1">
      <alignment horizontal="center" vertical="center" wrapText="1"/>
    </xf>
    <xf numFmtId="14" fontId="51" fillId="0" borderId="8" xfId="0" applyNumberFormat="1" applyFont="1" applyBorder="1" applyAlignment="1">
      <alignment horizontal="center" vertical="center" wrapText="1"/>
    </xf>
    <xf numFmtId="14" fontId="51" fillId="3" borderId="8" xfId="0" applyNumberFormat="1" applyFont="1" applyFill="1" applyBorder="1" applyAlignment="1">
      <alignment horizontal="center" vertical="center" wrapText="1"/>
    </xf>
    <xf numFmtId="14" fontId="57" fillId="0" borderId="8" xfId="0" applyNumberFormat="1" applyFont="1" applyBorder="1" applyAlignment="1">
      <alignment horizontal="center" vertical="center" wrapText="1"/>
    </xf>
    <xf numFmtId="0" fontId="58" fillId="3" borderId="24" xfId="0" applyFont="1" applyFill="1" applyBorder="1" applyAlignment="1">
      <alignment horizontal="right" vertical="top"/>
    </xf>
    <xf numFmtId="0" fontId="59" fillId="3" borderId="23" xfId="0" applyFont="1" applyFill="1" applyBorder="1" applyAlignment="1">
      <alignment horizontal="right" vertical="top"/>
    </xf>
    <xf numFmtId="0" fontId="40" fillId="3" borderId="24" xfId="0" applyFont="1" applyFill="1" applyBorder="1" applyAlignment="1">
      <alignment horizontal="right" vertical="center"/>
    </xf>
    <xf numFmtId="0" fontId="3" fillId="6" borderId="89" xfId="0" applyFont="1" applyFill="1" applyBorder="1" applyAlignment="1">
      <alignment horizontal="center" vertical="center" wrapText="1"/>
    </xf>
    <xf numFmtId="0" fontId="41" fillId="3" borderId="23" xfId="0" applyFont="1" applyFill="1" applyBorder="1" applyAlignment="1">
      <alignment horizontal="right" vertical="center"/>
    </xf>
    <xf numFmtId="0" fontId="40" fillId="3" borderId="24" xfId="0" applyFont="1" applyFill="1" applyBorder="1" applyAlignment="1">
      <alignment vertical="center"/>
    </xf>
    <xf numFmtId="0" fontId="8" fillId="11" borderId="90" xfId="0" applyFont="1" applyFill="1" applyBorder="1" applyAlignment="1">
      <alignment horizontal="center" vertical="center" wrapText="1"/>
    </xf>
    <xf numFmtId="0" fontId="8" fillId="12" borderId="90" xfId="0" applyFont="1" applyFill="1" applyBorder="1" applyAlignment="1">
      <alignment horizontal="center" vertical="center" wrapText="1"/>
    </xf>
    <xf numFmtId="0" fontId="8" fillId="13" borderId="90" xfId="0" applyFont="1" applyFill="1" applyBorder="1" applyAlignment="1">
      <alignment horizontal="center" vertical="center" wrapText="1"/>
    </xf>
    <xf numFmtId="0" fontId="41" fillId="3" borderId="23" xfId="0" applyFont="1" applyFill="1" applyBorder="1" applyAlignment="1">
      <alignment vertical="center"/>
    </xf>
    <xf numFmtId="0" fontId="40" fillId="3" borderId="22" xfId="0" applyFont="1" applyFill="1" applyBorder="1" applyAlignment="1">
      <alignment vertical="center"/>
    </xf>
    <xf numFmtId="0" fontId="3" fillId="3" borderId="17"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60" fillId="11" borderId="17" xfId="0" applyFont="1" applyFill="1" applyBorder="1" applyAlignment="1">
      <alignment horizontal="center" vertical="center" wrapText="1"/>
    </xf>
    <xf numFmtId="0" fontId="61" fillId="11" borderId="27" xfId="0" applyFont="1" applyFill="1" applyBorder="1" applyAlignment="1">
      <alignment horizontal="center" vertical="center"/>
    </xf>
    <xf numFmtId="0" fontId="61" fillId="11" borderId="28" xfId="0" applyFont="1" applyFill="1" applyBorder="1" applyAlignment="1">
      <alignment horizontal="center" vertical="center"/>
    </xf>
    <xf numFmtId="0" fontId="62" fillId="12" borderId="14" xfId="0" applyFont="1" applyFill="1" applyBorder="1" applyAlignment="1">
      <alignment horizontal="center" vertical="center"/>
    </xf>
    <xf numFmtId="0" fontId="62" fillId="12" borderId="15" xfId="0" applyFont="1" applyFill="1" applyBorder="1" applyAlignment="1">
      <alignment horizontal="center" vertical="center"/>
    </xf>
    <xf numFmtId="0" fontId="3" fillId="13" borderId="14" xfId="0" applyFont="1" applyFill="1" applyBorder="1" applyAlignment="1">
      <alignment horizontal="center" vertical="center"/>
    </xf>
    <xf numFmtId="0" fontId="3" fillId="13" borderId="15" xfId="0" applyFont="1" applyFill="1" applyBorder="1" applyAlignment="1">
      <alignment horizontal="center" vertical="center"/>
    </xf>
    <xf numFmtId="0" fontId="3" fillId="7" borderId="18"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4" fillId="0" borderId="14" xfId="0" applyFont="1" applyBorder="1" applyAlignment="1">
      <alignment horizontal="left" indent="2"/>
    </xf>
    <xf numFmtId="0" fontId="34" fillId="0" borderId="0" xfId="0" applyFont="1" applyAlignment="1">
      <alignment horizontal="left" indent="2"/>
    </xf>
    <xf numFmtId="0" fontId="35" fillId="0" borderId="15" xfId="0" applyFont="1" applyBorder="1"/>
    <xf numFmtId="0" fontId="32" fillId="0" borderId="0" xfId="1" applyFont="1" applyBorder="1" applyAlignment="1" applyProtection="1">
      <alignment horizontal="left" indent="2"/>
    </xf>
    <xf numFmtId="164" fontId="3" fillId="6" borderId="89" xfId="0" applyNumberFormat="1" applyFont="1" applyFill="1" applyBorder="1" applyAlignment="1">
      <alignment horizontal="center" vertical="center" wrapText="1"/>
    </xf>
    <xf numFmtId="164" fontId="3" fillId="8" borderId="89" xfId="0" applyNumberFormat="1" applyFont="1" applyFill="1" applyBorder="1" applyAlignment="1">
      <alignment horizontal="center" vertical="center" wrapText="1"/>
    </xf>
    <xf numFmtId="0" fontId="3" fillId="0" borderId="54" xfId="0" applyFont="1" applyBorder="1"/>
    <xf numFmtId="0" fontId="8" fillId="0" borderId="0" xfId="1" applyFont="1" applyBorder="1" applyAlignment="1" applyProtection="1">
      <alignment horizontal="justify" vertical="top" wrapText="1"/>
    </xf>
    <xf numFmtId="164" fontId="8" fillId="6" borderId="33" xfId="0" applyNumberFormat="1" applyFont="1" applyFill="1" applyBorder="1" applyAlignment="1">
      <alignment horizontal="center" vertical="center"/>
    </xf>
    <xf numFmtId="164" fontId="3" fillId="8" borderId="34" xfId="0" applyNumberFormat="1" applyFont="1" applyFill="1" applyBorder="1" applyAlignment="1">
      <alignment horizontal="center" vertical="center"/>
    </xf>
    <xf numFmtId="164" fontId="3" fillId="6" borderId="33" xfId="0" applyNumberFormat="1" applyFont="1" applyFill="1" applyBorder="1" applyAlignment="1">
      <alignment horizontal="center" vertical="center"/>
    </xf>
    <xf numFmtId="164" fontId="3" fillId="0" borderId="33" xfId="0" applyNumberFormat="1" applyFont="1" applyBorder="1" applyAlignment="1">
      <alignment horizontal="center" vertical="center"/>
    </xf>
    <xf numFmtId="164" fontId="3" fillId="0" borderId="34" xfId="0" applyNumberFormat="1" applyFont="1" applyBorder="1" applyAlignment="1">
      <alignment horizontal="center" vertical="center"/>
    </xf>
    <xf numFmtId="164" fontId="3" fillId="0" borderId="47" xfId="0" applyNumberFormat="1" applyFont="1" applyBorder="1" applyAlignment="1">
      <alignment horizontal="center" vertical="center"/>
    </xf>
    <xf numFmtId="164" fontId="3" fillId="0" borderId="49" xfId="0" applyNumberFormat="1" applyFont="1" applyBorder="1" applyAlignment="1">
      <alignment horizontal="center" vertical="center"/>
    </xf>
    <xf numFmtId="164" fontId="8" fillId="14" borderId="8" xfId="0" applyNumberFormat="1" applyFont="1" applyFill="1" applyBorder="1" applyAlignment="1">
      <alignment vertical="center" wrapText="1"/>
    </xf>
    <xf numFmtId="164" fontId="8" fillId="14" borderId="34" xfId="0" applyNumberFormat="1" applyFont="1" applyFill="1" applyBorder="1" applyAlignment="1">
      <alignment vertical="center" wrapText="1"/>
    </xf>
    <xf numFmtId="164" fontId="8" fillId="3" borderId="8" xfId="0" applyNumberFormat="1" applyFont="1" applyFill="1" applyBorder="1" applyAlignment="1">
      <alignment vertical="center" wrapText="1"/>
    </xf>
    <xf numFmtId="164" fontId="8" fillId="3" borderId="8" xfId="0" applyNumberFormat="1" applyFont="1" applyFill="1" applyBorder="1" applyAlignment="1">
      <alignment vertical="center"/>
    </xf>
    <xf numFmtId="164" fontId="8" fillId="3" borderId="34" xfId="0" applyNumberFormat="1" applyFont="1" applyFill="1" applyBorder="1" applyAlignment="1">
      <alignment vertical="center" wrapText="1"/>
    </xf>
    <xf numFmtId="14" fontId="57" fillId="0" borderId="8" xfId="0" quotePrefix="1" applyNumberFormat="1" applyFont="1" applyBorder="1" applyAlignment="1">
      <alignment horizontal="center" vertical="center" wrapText="1"/>
    </xf>
    <xf numFmtId="0" fontId="8" fillId="11" borderId="27" xfId="0" applyFont="1" applyFill="1" applyBorder="1" applyAlignment="1">
      <alignment horizontal="center" vertical="center" wrapText="1"/>
    </xf>
    <xf numFmtId="0" fontId="8" fillId="0" borderId="90" xfId="0" applyFont="1" applyBorder="1" applyAlignment="1">
      <alignment horizontal="center" vertical="center" wrapText="1"/>
    </xf>
    <xf numFmtId="0" fontId="8" fillId="12" borderId="14" xfId="0" applyFont="1" applyFill="1" applyBorder="1" applyAlignment="1">
      <alignment horizontal="center" vertical="center" wrapText="1"/>
    </xf>
    <xf numFmtId="0" fontId="8" fillId="13" borderId="14"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6" borderId="87" xfId="0" applyFont="1" applyFill="1" applyBorder="1" applyAlignment="1">
      <alignment horizontal="center" vertical="center" wrapText="1"/>
    </xf>
    <xf numFmtId="0" fontId="8" fillId="11" borderId="0" xfId="0" applyFont="1" applyFill="1" applyAlignment="1">
      <alignment horizontal="center" vertical="center" wrapText="1"/>
    </xf>
    <xf numFmtId="0" fontId="8" fillId="12" borderId="0" xfId="0" applyFont="1" applyFill="1" applyAlignment="1">
      <alignment horizontal="center" vertical="center" wrapText="1"/>
    </xf>
    <xf numFmtId="0" fontId="8" fillId="13" borderId="0" xfId="0" applyFont="1" applyFill="1" applyAlignment="1">
      <alignment horizontal="center" vertical="center" wrapText="1"/>
    </xf>
    <xf numFmtId="0" fontId="8" fillId="0" borderId="0" xfId="0" applyFont="1" applyAlignment="1">
      <alignment horizontal="center" vertical="center" wrapText="1"/>
    </xf>
    <xf numFmtId="0" fontId="8" fillId="3" borderId="0" xfId="0" applyFont="1" applyFill="1" applyAlignment="1">
      <alignment horizontal="center" vertical="center" wrapText="1"/>
    </xf>
    <xf numFmtId="0" fontId="60" fillId="11" borderId="0" xfId="0" applyFont="1" applyFill="1" applyAlignment="1">
      <alignment horizontal="center" vertical="center" wrapText="1"/>
    </xf>
    <xf numFmtId="164" fontId="3" fillId="8" borderId="28" xfId="0" applyNumberFormat="1"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87" xfId="0" applyFont="1" applyFill="1" applyBorder="1" applyAlignment="1">
      <alignment horizontal="center" vertical="center" wrapText="1"/>
    </xf>
    <xf numFmtId="0" fontId="3" fillId="13" borderId="90" xfId="0" applyFont="1" applyFill="1" applyBorder="1"/>
    <xf numFmtId="0" fontId="3" fillId="13" borderId="0" xfId="0" applyFont="1" applyFill="1"/>
    <xf numFmtId="0" fontId="3" fillId="11" borderId="0" xfId="0" applyFont="1" applyFill="1"/>
    <xf numFmtId="0" fontId="3" fillId="11" borderId="17" xfId="0" applyFont="1" applyFill="1" applyBorder="1"/>
    <xf numFmtId="166" fontId="4" fillId="0" borderId="0" xfId="1" applyNumberFormat="1" applyFont="1" applyFill="1" applyBorder="1" applyAlignment="1" applyProtection="1">
      <alignment horizontal="left"/>
    </xf>
    <xf numFmtId="0" fontId="3" fillId="13" borderId="28" xfId="0" applyFont="1" applyFill="1" applyBorder="1"/>
    <xf numFmtId="164" fontId="31" fillId="5" borderId="8" xfId="0" applyNumberFormat="1" applyFont="1" applyFill="1" applyBorder="1" applyAlignment="1">
      <alignment horizontal="right" vertical="center"/>
    </xf>
    <xf numFmtId="164" fontId="31" fillId="5" borderId="48" xfId="0" applyNumberFormat="1" applyFont="1" applyFill="1" applyBorder="1" applyAlignment="1">
      <alignment horizontal="right" vertical="center"/>
    </xf>
    <xf numFmtId="0" fontId="31" fillId="15" borderId="8" xfId="0" applyFont="1" applyFill="1" applyBorder="1"/>
    <xf numFmtId="0" fontId="31" fillId="5" borderId="8" xfId="0" applyFont="1" applyFill="1" applyBorder="1"/>
    <xf numFmtId="166" fontId="31" fillId="5" borderId="8" xfId="0" applyNumberFormat="1" applyFont="1" applyFill="1" applyBorder="1"/>
    <xf numFmtId="0" fontId="31" fillId="0" borderId="8" xfId="0" applyFont="1" applyBorder="1"/>
    <xf numFmtId="166" fontId="31" fillId="0" borderId="8" xfId="0" applyNumberFormat="1" applyFont="1" applyBorder="1"/>
    <xf numFmtId="0" fontId="34" fillId="3" borderId="14" xfId="0" applyFont="1" applyFill="1" applyBorder="1" applyAlignment="1">
      <alignment horizontal="left" wrapText="1" indent="2"/>
    </xf>
    <xf numFmtId="0" fontId="34" fillId="3" borderId="0" xfId="0" applyFont="1" applyFill="1" applyAlignment="1">
      <alignment horizontal="left" wrapText="1" indent="2"/>
    </xf>
    <xf numFmtId="0" fontId="33" fillId="3" borderId="15" xfId="0" applyFont="1" applyFill="1" applyBorder="1"/>
    <xf numFmtId="0" fontId="32" fillId="3" borderId="0" xfId="1" applyFont="1" applyFill="1" applyAlignment="1">
      <alignment horizontal="left" wrapText="1" indent="2"/>
    </xf>
    <xf numFmtId="0" fontId="31" fillId="3" borderId="8" xfId="0" applyFont="1" applyFill="1" applyBorder="1"/>
    <xf numFmtId="166" fontId="31" fillId="3" borderId="8" xfId="0" applyNumberFormat="1" applyFont="1" applyFill="1" applyBorder="1"/>
    <xf numFmtId="0" fontId="31" fillId="0" borderId="8" xfId="0" applyFont="1" applyBorder="1" applyAlignment="1">
      <alignment horizontal="center" vertical="center"/>
    </xf>
    <xf numFmtId="164" fontId="8" fillId="10" borderId="34" xfId="0" applyNumberFormat="1" applyFont="1" applyFill="1" applyBorder="1" applyAlignment="1">
      <alignment horizontal="right" vertical="center"/>
    </xf>
    <xf numFmtId="166" fontId="31" fillId="3" borderId="34" xfId="0" applyNumberFormat="1" applyFont="1" applyFill="1" applyBorder="1"/>
    <xf numFmtId="0" fontId="31" fillId="15" borderId="34" xfId="0" applyFont="1" applyFill="1" applyBorder="1"/>
    <xf numFmtId="166" fontId="31" fillId="5" borderId="34" xfId="0" applyNumberFormat="1" applyFont="1" applyFill="1" applyBorder="1"/>
    <xf numFmtId="166" fontId="31" fillId="0" borderId="34" xfId="0" applyNumberFormat="1" applyFont="1" applyBorder="1"/>
    <xf numFmtId="0" fontId="31" fillId="5" borderId="34" xfId="0" applyFont="1" applyFill="1" applyBorder="1"/>
    <xf numFmtId="0" fontId="3" fillId="0" borderId="47" xfId="0" applyFont="1" applyBorder="1" applyAlignment="1">
      <alignment vertical="center" wrapText="1"/>
    </xf>
    <xf numFmtId="0" fontId="31" fillId="0" borderId="48" xfId="0" applyFont="1" applyBorder="1" applyAlignment="1">
      <alignment horizontal="center" vertical="center"/>
    </xf>
    <xf numFmtId="0" fontId="31" fillId="15" borderId="48" xfId="0" applyFont="1" applyFill="1" applyBorder="1"/>
    <xf numFmtId="0" fontId="31" fillId="15" borderId="49" xfId="0" applyFont="1" applyFill="1" applyBorder="1"/>
    <xf numFmtId="0" fontId="40" fillId="9" borderId="92" xfId="0" applyFont="1" applyFill="1" applyBorder="1" applyAlignment="1">
      <alignment horizontal="center" vertical="center" wrapText="1"/>
    </xf>
    <xf numFmtId="0" fontId="67" fillId="0" borderId="0" xfId="0" applyFont="1"/>
    <xf numFmtId="0" fontId="68" fillId="0" borderId="0" xfId="0" applyFont="1"/>
    <xf numFmtId="0" fontId="8" fillId="5" borderId="8" xfId="0" applyFont="1" applyFill="1" applyBorder="1" applyAlignment="1">
      <alignment horizontal="center" vertical="center"/>
    </xf>
    <xf numFmtId="0" fontId="8" fillId="5" borderId="33"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34" xfId="0" applyFont="1" applyFill="1" applyBorder="1" applyAlignment="1">
      <alignment horizontal="center" vertical="center"/>
    </xf>
    <xf numFmtId="166" fontId="8" fillId="0" borderId="34" xfId="0" applyNumberFormat="1" applyFont="1" applyBorder="1"/>
    <xf numFmtId="0" fontId="3" fillId="4" borderId="47" xfId="0" applyFont="1" applyFill="1" applyBorder="1" applyAlignment="1">
      <alignment vertical="center" wrapText="1"/>
    </xf>
    <xf numFmtId="0" fontId="31" fillId="4" borderId="48" xfId="0" applyFont="1" applyFill="1" applyBorder="1" applyAlignment="1">
      <alignment horizontal="center" vertical="center"/>
    </xf>
    <xf numFmtId="0" fontId="31" fillId="0" borderId="48" xfId="0" applyFont="1" applyBorder="1"/>
    <xf numFmtId="166" fontId="31" fillId="0" borderId="49" xfId="0" applyNumberFormat="1" applyFont="1" applyBorder="1"/>
    <xf numFmtId="0" fontId="31" fillId="0" borderId="36" xfId="0" applyFont="1" applyBorder="1" applyAlignment="1">
      <alignment horizontal="center" vertical="center"/>
    </xf>
    <xf numFmtId="0" fontId="40" fillId="9" borderId="91" xfId="0" applyFont="1" applyFill="1" applyBorder="1" applyAlignment="1">
      <alignment horizontal="center" vertical="center" wrapText="1"/>
    </xf>
    <xf numFmtId="0" fontId="8" fillId="0" borderId="8" xfId="0" applyFont="1" applyBorder="1" applyAlignment="1">
      <alignment horizontal="left" vertical="center"/>
    </xf>
    <xf numFmtId="0" fontId="3" fillId="0" borderId="8" xfId="0" applyFont="1" applyBorder="1" applyAlignment="1">
      <alignment horizontal="left" vertical="center"/>
    </xf>
    <xf numFmtId="0" fontId="3" fillId="3" borderId="0" xfId="0" applyFont="1" applyFill="1" applyAlignment="1">
      <alignment horizontal="right" wrapText="1" indent="1"/>
    </xf>
    <xf numFmtId="0" fontId="65" fillId="0" borderId="43" xfId="0" applyFont="1" applyBorder="1" applyAlignment="1">
      <alignment horizontal="center" vertical="center"/>
    </xf>
    <xf numFmtId="0" fontId="3" fillId="12" borderId="0" xfId="0" applyFont="1" applyFill="1"/>
    <xf numFmtId="0" fontId="8" fillId="0" borderId="8" xfId="0" applyFont="1" applyBorder="1" applyAlignment="1">
      <alignment horizontal="center" vertical="center"/>
    </xf>
    <xf numFmtId="164" fontId="8" fillId="0" borderId="8"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8" fillId="0" borderId="34" xfId="0" applyFont="1" applyBorder="1" applyAlignment="1">
      <alignment horizontal="center" vertical="center"/>
    </xf>
    <xf numFmtId="0" fontId="3" fillId="0" borderId="33" xfId="0" applyFont="1" applyBorder="1" applyAlignment="1">
      <alignment horizontal="left" vertical="center" wrapText="1"/>
    </xf>
    <xf numFmtId="0" fontId="8" fillId="0" borderId="48" xfId="0" applyFont="1" applyBorder="1" applyAlignment="1">
      <alignment horizontal="left" vertical="center"/>
    </xf>
    <xf numFmtId="165" fontId="8" fillId="0" borderId="48" xfId="0" applyNumberFormat="1" applyFont="1" applyBorder="1" applyAlignment="1">
      <alignment horizontal="center" vertical="center"/>
    </xf>
    <xf numFmtId="164" fontId="8" fillId="6" borderId="8" xfId="0" applyNumberFormat="1" applyFont="1" applyFill="1" applyBorder="1" applyAlignment="1">
      <alignment horizontal="right" vertical="center"/>
    </xf>
    <xf numFmtId="164" fontId="8" fillId="6" borderId="34" xfId="0" applyNumberFormat="1" applyFont="1" applyFill="1" applyBorder="1" applyAlignment="1">
      <alignment horizontal="right" vertical="center"/>
    </xf>
    <xf numFmtId="164" fontId="8" fillId="2" borderId="8" xfId="0" applyNumberFormat="1" applyFont="1" applyFill="1" applyBorder="1" applyAlignment="1">
      <alignment horizontal="right" vertical="center"/>
    </xf>
    <xf numFmtId="164" fontId="3" fillId="2" borderId="8" xfId="0" applyNumberFormat="1" applyFont="1" applyFill="1" applyBorder="1" applyAlignment="1">
      <alignment horizontal="right" vertical="center"/>
    </xf>
    <xf numFmtId="164" fontId="8" fillId="8" borderId="8" xfId="0" applyNumberFormat="1" applyFont="1" applyFill="1" applyBorder="1" applyAlignment="1">
      <alignment horizontal="right" vertical="center"/>
    </xf>
    <xf numFmtId="164" fontId="8" fillId="8" borderId="34" xfId="0" applyNumberFormat="1" applyFont="1" applyFill="1" applyBorder="1" applyAlignment="1">
      <alignment horizontal="right" vertical="center"/>
    </xf>
    <xf numFmtId="164" fontId="31" fillId="0" borderId="8" xfId="0" applyNumberFormat="1" applyFont="1" applyBorder="1" applyAlignment="1">
      <alignment horizontal="right" vertical="center"/>
    </xf>
    <xf numFmtId="164" fontId="31" fillId="0" borderId="34" xfId="0" applyNumberFormat="1" applyFont="1" applyBorder="1" applyAlignment="1">
      <alignment horizontal="right" vertical="center"/>
    </xf>
    <xf numFmtId="164" fontId="16" fillId="2" borderId="8" xfId="0" applyNumberFormat="1" applyFont="1" applyFill="1" applyBorder="1" applyAlignment="1">
      <alignment horizontal="right" vertical="center"/>
    </xf>
    <xf numFmtId="168" fontId="8" fillId="10" borderId="8" xfId="0" applyNumberFormat="1" applyFont="1" applyFill="1" applyBorder="1" applyAlignment="1">
      <alignment horizontal="right" vertical="center"/>
    </xf>
    <xf numFmtId="168" fontId="8" fillId="10" borderId="34" xfId="0" applyNumberFormat="1" applyFont="1" applyFill="1" applyBorder="1" applyAlignment="1">
      <alignment horizontal="right" vertical="center"/>
    </xf>
    <xf numFmtId="164" fontId="16" fillId="2" borderId="48" xfId="0" applyNumberFormat="1" applyFont="1" applyFill="1" applyBorder="1" applyAlignment="1">
      <alignment horizontal="right" vertical="center"/>
    </xf>
    <xf numFmtId="164" fontId="8" fillId="6" borderId="48" xfId="0" applyNumberFormat="1" applyFont="1" applyFill="1" applyBorder="1" applyAlignment="1">
      <alignment horizontal="right" vertical="center"/>
    </xf>
    <xf numFmtId="164" fontId="31" fillId="0" borderId="48" xfId="0" applyNumberFormat="1" applyFont="1" applyBorder="1" applyAlignment="1">
      <alignment horizontal="right" vertical="center"/>
    </xf>
    <xf numFmtId="164" fontId="31" fillId="0" borderId="49" xfId="0" applyNumberFormat="1" applyFont="1" applyBorder="1" applyAlignment="1">
      <alignment horizontal="right" vertical="center"/>
    </xf>
    <xf numFmtId="164" fontId="31" fillId="15" borderId="8" xfId="0" applyNumberFormat="1" applyFont="1" applyFill="1" applyBorder="1" applyAlignment="1">
      <alignment horizontal="right" vertical="center"/>
    </xf>
    <xf numFmtId="164" fontId="8" fillId="16" borderId="8" xfId="0" applyNumberFormat="1" applyFont="1" applyFill="1" applyBorder="1" applyAlignment="1">
      <alignment horizontal="right" vertical="center"/>
    </xf>
    <xf numFmtId="0" fontId="3" fillId="11" borderId="15" xfId="0" applyFont="1" applyFill="1" applyBorder="1"/>
    <xf numFmtId="0" fontId="3" fillId="11" borderId="18" xfId="0" applyFont="1" applyFill="1" applyBorder="1"/>
    <xf numFmtId="0" fontId="3" fillId="13" borderId="15" xfId="0" applyFont="1" applyFill="1" applyBorder="1"/>
    <xf numFmtId="164" fontId="8" fillId="0" borderId="34" xfId="0" applyNumberFormat="1" applyFont="1" applyBorder="1" applyAlignment="1">
      <alignment horizontal="center" vertical="center"/>
    </xf>
    <xf numFmtId="0" fontId="25" fillId="0" borderId="8" xfId="0" applyFont="1" applyBorder="1" applyAlignment="1">
      <alignment horizontal="center" vertical="center"/>
    </xf>
    <xf numFmtId="166" fontId="3" fillId="5" borderId="8" xfId="0" applyNumberFormat="1" applyFont="1" applyFill="1" applyBorder="1" applyAlignment="1">
      <alignment horizontal="center"/>
    </xf>
    <xf numFmtId="166" fontId="8" fillId="14" borderId="8" xfId="0" applyNumberFormat="1" applyFont="1" applyFill="1" applyBorder="1" applyAlignment="1">
      <alignment horizontal="center"/>
    </xf>
    <xf numFmtId="0" fontId="3" fillId="12" borderId="15" xfId="0" applyFont="1" applyFill="1" applyBorder="1"/>
    <xf numFmtId="0" fontId="16" fillId="12" borderId="0" xfId="0" applyFont="1" applyFill="1"/>
    <xf numFmtId="0" fontId="31" fillId="0" borderId="89" xfId="0" applyFont="1" applyBorder="1"/>
    <xf numFmtId="0" fontId="33" fillId="3" borderId="0" xfId="0" applyFont="1" applyFill="1"/>
    <xf numFmtId="0" fontId="38" fillId="3" borderId="0" xfId="1" applyFont="1" applyFill="1" applyBorder="1" applyAlignment="1" applyProtection="1"/>
    <xf numFmtId="0" fontId="39" fillId="3" borderId="0" xfId="1" applyFont="1" applyFill="1" applyBorder="1" applyAlignment="1" applyProtection="1"/>
    <xf numFmtId="0" fontId="32" fillId="3" borderId="0" xfId="1" applyFont="1" applyFill="1" applyBorder="1" applyAlignment="1" applyProtection="1"/>
    <xf numFmtId="0" fontId="69" fillId="3" borderId="0" xfId="1" applyFont="1" applyFill="1" applyBorder="1" applyAlignment="1" applyProtection="1"/>
    <xf numFmtId="0" fontId="33" fillId="3" borderId="17" xfId="0" applyFont="1" applyFill="1" applyBorder="1"/>
    <xf numFmtId="0" fontId="13" fillId="3" borderId="0" xfId="0" applyFont="1" applyFill="1"/>
    <xf numFmtId="0" fontId="33" fillId="5" borderId="15" xfId="0" applyFont="1" applyFill="1" applyBorder="1"/>
    <xf numFmtId="0" fontId="19" fillId="6" borderId="22" xfId="0" applyFont="1" applyFill="1" applyBorder="1" applyAlignment="1">
      <alignment horizontal="center" vertical="center"/>
    </xf>
    <xf numFmtId="0" fontId="7" fillId="8" borderId="62" xfId="0" applyFont="1" applyFill="1" applyBorder="1" applyAlignment="1">
      <alignment horizontal="center" vertical="center"/>
    </xf>
    <xf numFmtId="0" fontId="19" fillId="6" borderId="24" xfId="0" applyFont="1" applyFill="1" applyBorder="1" applyAlignment="1">
      <alignment horizontal="center" vertical="center" wrapText="1"/>
    </xf>
    <xf numFmtId="0" fontId="7" fillId="8" borderId="54" xfId="0" applyFont="1" applyFill="1" applyBorder="1" applyAlignment="1">
      <alignment horizontal="center" vertical="center" wrapText="1"/>
    </xf>
    <xf numFmtId="169" fontId="28" fillId="6" borderId="24" xfId="0" applyNumberFormat="1" applyFont="1" applyFill="1" applyBorder="1" applyAlignment="1">
      <alignment horizontal="center" vertical="center" wrapText="1"/>
    </xf>
    <xf numFmtId="0" fontId="70" fillId="8" borderId="54" xfId="0" applyFont="1" applyFill="1" applyBorder="1" applyAlignment="1">
      <alignment horizontal="center" vertical="center"/>
    </xf>
    <xf numFmtId="169" fontId="28" fillId="6" borderId="42" xfId="0" applyNumberFormat="1" applyFont="1" applyFill="1" applyBorder="1" applyAlignment="1">
      <alignment horizontal="center" vertical="center" wrapText="1"/>
    </xf>
    <xf numFmtId="0" fontId="70" fillId="8" borderId="67" xfId="0" applyFont="1" applyFill="1" applyBorder="1" applyAlignment="1">
      <alignment horizontal="center" vertical="center" wrapText="1"/>
    </xf>
    <xf numFmtId="0" fontId="25" fillId="0" borderId="53" xfId="0" applyFont="1" applyBorder="1" applyAlignment="1">
      <alignment horizontal="left"/>
    </xf>
    <xf numFmtId="0" fontId="32" fillId="0" borderId="0" xfId="1" applyFont="1" applyFill="1" applyBorder="1" applyAlignment="1">
      <alignment vertical="center" wrapText="1"/>
    </xf>
    <xf numFmtId="0" fontId="69" fillId="0" borderId="0" xfId="1" applyFont="1" applyFill="1" applyBorder="1" applyAlignment="1">
      <alignment vertical="center" wrapText="1"/>
    </xf>
    <xf numFmtId="0" fontId="69" fillId="0" borderId="0" xfId="1" applyFont="1" applyAlignment="1">
      <alignment wrapText="1"/>
    </xf>
    <xf numFmtId="166" fontId="31" fillId="15" borderId="8" xfId="0" applyNumberFormat="1" applyFont="1" applyFill="1" applyBorder="1"/>
    <xf numFmtId="0" fontId="3" fillId="17" borderId="96" xfId="0" applyFont="1" applyFill="1" applyBorder="1"/>
    <xf numFmtId="0" fontId="31" fillId="18" borderId="34" xfId="0" applyFont="1" applyFill="1" applyBorder="1"/>
    <xf numFmtId="164" fontId="8" fillId="3" borderId="8" xfId="0" applyNumberFormat="1" applyFont="1" applyFill="1" applyBorder="1" applyAlignment="1">
      <alignment horizontal="right" vertical="center"/>
    </xf>
    <xf numFmtId="164" fontId="8" fillId="3" borderId="34" xfId="0" applyNumberFormat="1" applyFont="1" applyFill="1" applyBorder="1" applyAlignment="1">
      <alignment horizontal="right" vertical="center"/>
    </xf>
    <xf numFmtId="0" fontId="69" fillId="3" borderId="0" xfId="1" applyFont="1" applyFill="1"/>
    <xf numFmtId="0" fontId="33" fillId="4" borderId="9" xfId="0" applyFont="1" applyFill="1" applyBorder="1" applyAlignment="1">
      <alignment horizontal="center"/>
    </xf>
    <xf numFmtId="0" fontId="33" fillId="4" borderId="10" xfId="0" applyFont="1" applyFill="1" applyBorder="1" applyAlignment="1">
      <alignment horizontal="center"/>
    </xf>
    <xf numFmtId="0" fontId="33" fillId="4" borderId="11" xfId="0" applyFont="1" applyFill="1" applyBorder="1" applyAlignment="1">
      <alignment horizontal="center"/>
    </xf>
    <xf numFmtId="0" fontId="34" fillId="5" borderId="14" xfId="0" applyFont="1" applyFill="1" applyBorder="1" applyAlignment="1">
      <alignment horizontal="center" vertical="center" wrapText="1"/>
    </xf>
    <xf numFmtId="0" fontId="34" fillId="5" borderId="0" xfId="0" applyFont="1" applyFill="1" applyAlignment="1">
      <alignment horizontal="center" vertical="center" wrapText="1"/>
    </xf>
    <xf numFmtId="0" fontId="33" fillId="3" borderId="14" xfId="0" applyFont="1" applyFill="1" applyBorder="1" applyAlignment="1">
      <alignment horizontal="center"/>
    </xf>
    <xf numFmtId="0" fontId="33" fillId="3" borderId="0" xfId="0" applyFont="1" applyFill="1" applyAlignment="1">
      <alignment horizontal="center"/>
    </xf>
    <xf numFmtId="0" fontId="34" fillId="5" borderId="14" xfId="0" applyFont="1" applyFill="1" applyBorder="1" applyAlignment="1">
      <alignment horizontal="left" indent="2"/>
    </xf>
    <xf numFmtId="0" fontId="34" fillId="5" borderId="0" xfId="0" applyFont="1" applyFill="1" applyAlignment="1">
      <alignment horizontal="left" indent="2"/>
    </xf>
    <xf numFmtId="0" fontId="34" fillId="5" borderId="14" xfId="0" applyFont="1" applyFill="1" applyBorder="1" applyAlignment="1">
      <alignment horizontal="left" wrapText="1" indent="2"/>
    </xf>
    <xf numFmtId="0" fontId="34" fillId="5" borderId="0" xfId="0" applyFont="1" applyFill="1" applyAlignment="1">
      <alignment horizontal="left" wrapText="1" indent="2"/>
    </xf>
    <xf numFmtId="0" fontId="40" fillId="7" borderId="59" xfId="0" applyFont="1" applyFill="1" applyBorder="1" applyAlignment="1">
      <alignment horizontal="right" vertical="center" wrapText="1"/>
    </xf>
    <xf numFmtId="0" fontId="40" fillId="7" borderId="6" xfId="0" applyFont="1" applyFill="1" applyBorder="1" applyAlignment="1">
      <alignment horizontal="right" vertical="center" wrapText="1"/>
    </xf>
    <xf numFmtId="0" fontId="40" fillId="7" borderId="60" xfId="0" applyFont="1" applyFill="1" applyBorder="1" applyAlignment="1">
      <alignment horizontal="right" vertical="center" wrapText="1"/>
    </xf>
    <xf numFmtId="0" fontId="3" fillId="3" borderId="55" xfId="0" applyFont="1" applyFill="1" applyBorder="1" applyAlignment="1">
      <alignment horizontal="right" vertical="center" wrapText="1"/>
    </xf>
    <xf numFmtId="0" fontId="3" fillId="3" borderId="56" xfId="0" applyFont="1" applyFill="1" applyBorder="1" applyAlignment="1">
      <alignment horizontal="right" vertical="center" wrapText="1"/>
    </xf>
    <xf numFmtId="0" fontId="40" fillId="7" borderId="50" xfId="0" applyFont="1" applyFill="1" applyBorder="1" applyAlignment="1">
      <alignment horizontal="left" vertical="center" wrapText="1"/>
    </xf>
    <xf numFmtId="0" fontId="40" fillId="7" borderId="51" xfId="0" applyFont="1" applyFill="1" applyBorder="1" applyAlignment="1">
      <alignment horizontal="left" vertical="center" wrapText="1"/>
    </xf>
    <xf numFmtId="0" fontId="40" fillId="7" borderId="52" xfId="0" applyFont="1" applyFill="1" applyBorder="1" applyAlignment="1">
      <alignment horizontal="left" vertical="center" wrapText="1"/>
    </xf>
    <xf numFmtId="0" fontId="40" fillId="7" borderId="53" xfId="0" applyFont="1" applyFill="1" applyBorder="1" applyAlignment="1">
      <alignment horizontal="right" vertical="center" wrapText="1"/>
    </xf>
    <xf numFmtId="0" fontId="40" fillId="7" borderId="0" xfId="0" applyFont="1" applyFill="1" applyAlignment="1">
      <alignment horizontal="right" vertical="center" wrapText="1"/>
    </xf>
    <xf numFmtId="0" fontId="40" fillId="7" borderId="54" xfId="0"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25" fillId="3" borderId="57" xfId="0" applyFont="1" applyFill="1" applyBorder="1" applyAlignment="1">
      <alignment horizontal="right" vertical="center" wrapText="1"/>
    </xf>
    <xf numFmtId="0" fontId="25" fillId="3" borderId="58" xfId="0" applyFont="1" applyFill="1" applyBorder="1" applyAlignment="1">
      <alignment horizontal="right" vertical="center" wrapText="1"/>
    </xf>
    <xf numFmtId="0" fontId="8" fillId="3" borderId="22"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3" fillId="6" borderId="78" xfId="0" applyFont="1" applyFill="1" applyBorder="1" applyAlignment="1">
      <alignment horizontal="center" vertical="center" wrapText="1"/>
    </xf>
    <xf numFmtId="0" fontId="3" fillId="6" borderId="79" xfId="0" applyFont="1" applyFill="1" applyBorder="1" applyAlignment="1">
      <alignment horizontal="center" vertical="center" wrapText="1"/>
    </xf>
    <xf numFmtId="0" fontId="3" fillId="8" borderId="69" xfId="0" applyFont="1" applyFill="1" applyBorder="1" applyAlignment="1">
      <alignment horizontal="center" vertical="center" wrapText="1"/>
    </xf>
    <xf numFmtId="0" fontId="3" fillId="8" borderId="80" xfId="0" applyFont="1" applyFill="1" applyBorder="1" applyAlignment="1">
      <alignment horizontal="center" vertical="center" wrapText="1"/>
    </xf>
    <xf numFmtId="0" fontId="3" fillId="3" borderId="33"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5" fillId="3" borderId="39" xfId="0" applyFont="1" applyFill="1" applyBorder="1" applyAlignment="1">
      <alignment horizontal="right" vertical="center" wrapText="1"/>
    </xf>
    <xf numFmtId="0" fontId="25" fillId="3" borderId="37" xfId="0" applyFont="1" applyFill="1" applyBorder="1" applyAlignment="1">
      <alignment horizontal="right" vertical="center" wrapText="1"/>
    </xf>
    <xf numFmtId="0" fontId="3" fillId="3" borderId="39" xfId="0" applyFont="1" applyFill="1" applyBorder="1" applyAlignment="1">
      <alignment horizontal="right" vertical="center" wrapText="1"/>
    </xf>
    <xf numFmtId="0" fontId="3" fillId="6" borderId="2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25" fillId="6" borderId="42" xfId="0" applyFont="1" applyFill="1" applyBorder="1" applyAlignment="1">
      <alignment horizontal="center" vertical="center" wrapText="1"/>
    </xf>
    <xf numFmtId="0" fontId="25" fillId="6" borderId="43" xfId="0" applyFont="1" applyFill="1" applyBorder="1" applyAlignment="1">
      <alignment horizontal="center" vertical="center" wrapText="1"/>
    </xf>
    <xf numFmtId="0" fontId="26" fillId="3" borderId="35" xfId="0" applyFont="1" applyFill="1" applyBorder="1" applyAlignment="1">
      <alignment horizontal="right" vertical="center" wrapText="1"/>
    </xf>
    <xf numFmtId="0" fontId="26" fillId="3" borderId="41" xfId="0" applyFont="1" applyFill="1" applyBorder="1" applyAlignment="1">
      <alignment horizontal="right" vertical="center" wrapText="1"/>
    </xf>
    <xf numFmtId="0" fontId="8" fillId="0" borderId="8" xfId="0" applyFont="1" applyBorder="1" applyAlignment="1">
      <alignment horizontal="left" vertical="center"/>
    </xf>
    <xf numFmtId="0" fontId="25" fillId="0" borderId="53" xfId="0" applyFont="1" applyBorder="1" applyAlignment="1">
      <alignment horizontal="left"/>
    </xf>
    <xf numFmtId="0" fontId="25" fillId="0" borderId="0" xfId="0" applyFont="1" applyAlignment="1">
      <alignment horizontal="left"/>
    </xf>
    <xf numFmtId="0" fontId="8" fillId="0" borderId="33" xfId="0" applyFont="1" applyBorder="1" applyAlignment="1">
      <alignment vertical="center" wrapText="1"/>
    </xf>
    <xf numFmtId="0" fontId="8" fillId="0" borderId="33" xfId="0" applyFont="1" applyBorder="1" applyAlignment="1">
      <alignment vertical="center"/>
    </xf>
    <xf numFmtId="0" fontId="3" fillId="0" borderId="33" xfId="0" applyFont="1" applyBorder="1" applyAlignment="1">
      <alignment vertical="center" wrapText="1"/>
    </xf>
    <xf numFmtId="0" fontId="3" fillId="0" borderId="33" xfId="0" applyFont="1" applyBorder="1" applyAlignment="1">
      <alignment vertical="center"/>
    </xf>
    <xf numFmtId="0" fontId="25" fillId="0" borderId="0" xfId="0" applyFont="1" applyAlignment="1">
      <alignment horizontal="left" wrapText="1"/>
    </xf>
    <xf numFmtId="0" fontId="3" fillId="0" borderId="33" xfId="0" applyFont="1" applyBorder="1" applyAlignment="1">
      <alignment horizontal="center" vertical="center" wrapText="1"/>
    </xf>
    <xf numFmtId="0" fontId="8" fillId="0" borderId="8" xfId="0" applyFont="1" applyBorder="1" applyAlignment="1">
      <alignment horizontal="center" vertical="center" wrapText="1"/>
    </xf>
    <xf numFmtId="0" fontId="3" fillId="0" borderId="8" xfId="0" applyFont="1" applyBorder="1" applyAlignment="1">
      <alignment horizontal="left" vertical="center"/>
    </xf>
    <xf numFmtId="0" fontId="40" fillId="9" borderId="44" xfId="0" applyFont="1" applyFill="1" applyBorder="1" applyAlignment="1">
      <alignment horizontal="left" vertical="center" wrapText="1"/>
    </xf>
    <xf numFmtId="0" fontId="40" fillId="9" borderId="45" xfId="0" applyFont="1" applyFill="1" applyBorder="1" applyAlignment="1">
      <alignment horizontal="left" vertical="center" wrapText="1"/>
    </xf>
    <xf numFmtId="0" fontId="40" fillId="9" borderId="46" xfId="0" applyFont="1" applyFill="1" applyBorder="1" applyAlignment="1">
      <alignment horizontal="left" vertical="center" wrapText="1"/>
    </xf>
    <xf numFmtId="0" fontId="26" fillId="0" borderId="87"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84"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28" fillId="0" borderId="53" xfId="0" applyFont="1" applyBorder="1" applyAlignment="1">
      <alignment horizontal="left"/>
    </xf>
    <xf numFmtId="0" fontId="28" fillId="0" borderId="0" xfId="0" applyFont="1" applyAlignment="1">
      <alignment horizontal="left"/>
    </xf>
    <xf numFmtId="0" fontId="3" fillId="0" borderId="0" xfId="0" applyFont="1" applyAlignment="1">
      <alignment horizontal="left" vertical="center"/>
    </xf>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33" xfId="0" applyFont="1" applyBorder="1" applyAlignment="1">
      <alignment horizontal="left" vertical="center" wrapText="1"/>
    </xf>
    <xf numFmtId="0" fontId="8" fillId="0" borderId="33" xfId="0" applyFont="1" applyBorder="1" applyAlignment="1">
      <alignment horizontal="left" vertical="center"/>
    </xf>
    <xf numFmtId="0" fontId="3" fillId="0" borderId="33" xfId="0" applyFont="1" applyBorder="1" applyAlignment="1">
      <alignment horizontal="center" vertical="center"/>
    </xf>
    <xf numFmtId="0" fontId="3" fillId="6" borderId="8" xfId="0" applyFont="1" applyFill="1" applyBorder="1" applyAlignment="1">
      <alignment horizontal="center" vertical="center" wrapText="1"/>
    </xf>
    <xf numFmtId="0" fontId="25" fillId="0" borderId="53" xfId="0" applyFont="1" applyBorder="1" applyAlignment="1">
      <alignment horizontal="left" wrapText="1"/>
    </xf>
    <xf numFmtId="0" fontId="43" fillId="0" borderId="0" xfId="0" applyFont="1" applyAlignment="1">
      <alignment horizontal="left" vertical="center" wrapText="1"/>
    </xf>
    <xf numFmtId="0" fontId="3" fillId="0" borderId="50" xfId="0" applyFont="1" applyBorder="1" applyAlignment="1">
      <alignment horizontal="center" vertical="center"/>
    </xf>
    <xf numFmtId="0" fontId="3" fillId="0" borderId="52" xfId="0" applyFont="1" applyBorder="1" applyAlignment="1">
      <alignment horizontal="center" vertical="center"/>
    </xf>
    <xf numFmtId="173" fontId="8" fillId="0" borderId="74" xfId="0" applyNumberFormat="1" applyFont="1" applyBorder="1" applyAlignment="1">
      <alignment horizontal="center" vertical="center"/>
    </xf>
    <xf numFmtId="173" fontId="8" fillId="0" borderId="75" xfId="0" applyNumberFormat="1" applyFont="1" applyBorder="1" applyAlignment="1">
      <alignment horizontal="center" vertical="center"/>
    </xf>
    <xf numFmtId="0" fontId="3" fillId="3" borderId="22" xfId="0" applyFont="1" applyFill="1" applyBorder="1" applyAlignment="1">
      <alignment horizontal="center" vertical="center" wrapText="1"/>
    </xf>
    <xf numFmtId="0" fontId="3" fillId="3" borderId="36" xfId="0" applyFont="1" applyFill="1" applyBorder="1" applyAlignment="1">
      <alignment horizontal="center" vertical="center" wrapText="1"/>
    </xf>
    <xf numFmtId="173" fontId="3" fillId="0" borderId="76" xfId="0" applyNumberFormat="1" applyFont="1" applyBorder="1" applyAlignment="1">
      <alignment horizontal="center" vertical="center"/>
    </xf>
    <xf numFmtId="173" fontId="3" fillId="0" borderId="77" xfId="0" applyNumberFormat="1" applyFont="1" applyBorder="1" applyAlignment="1">
      <alignment horizontal="center" vertical="center"/>
    </xf>
    <xf numFmtId="0" fontId="40" fillId="3" borderId="22" xfId="0" applyFont="1" applyFill="1" applyBorder="1" applyAlignment="1">
      <alignment horizontal="justify" vertical="center" wrapText="1"/>
    </xf>
    <xf numFmtId="0" fontId="40" fillId="3" borderId="24" xfId="0" applyFont="1" applyFill="1" applyBorder="1" applyAlignment="1">
      <alignment horizontal="justify" vertical="center"/>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2" xfId="0" applyFont="1" applyBorder="1" applyAlignment="1">
      <alignment horizontal="center" vertical="center" wrapText="1"/>
    </xf>
    <xf numFmtId="0" fontId="3" fillId="3" borderId="22"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25" fillId="3" borderId="23"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4" fillId="0" borderId="7" xfId="0" applyFont="1" applyBorder="1" applyAlignment="1">
      <alignment horizontal="left" vertical="center" wrapText="1"/>
    </xf>
    <xf numFmtId="0" fontId="33" fillId="0" borderId="35" xfId="0" applyFont="1" applyBorder="1" applyAlignment="1">
      <alignment horizontal="center" vertical="top"/>
    </xf>
    <xf numFmtId="0" fontId="33" fillId="0" borderId="39" xfId="0" applyFont="1" applyBorder="1" applyAlignment="1">
      <alignment horizontal="center" vertical="top"/>
    </xf>
    <xf numFmtId="0" fontId="33" fillId="0" borderId="37" xfId="0" applyFont="1" applyBorder="1" applyAlignment="1">
      <alignment horizontal="center" vertical="top"/>
    </xf>
    <xf numFmtId="0" fontId="38" fillId="0" borderId="0" xfId="1" applyFont="1" applyFill="1" applyBorder="1" applyAlignment="1" applyProtection="1">
      <alignment horizontal="left" vertical="center"/>
    </xf>
    <xf numFmtId="0" fontId="40" fillId="7" borderId="30" xfId="0" applyFont="1" applyFill="1" applyBorder="1" applyAlignment="1">
      <alignment horizontal="left" vertical="center" wrapText="1"/>
    </xf>
    <xf numFmtId="0" fontId="40" fillId="7" borderId="31" xfId="0" applyFont="1" applyFill="1" applyBorder="1" applyAlignment="1">
      <alignment horizontal="left" vertical="center"/>
    </xf>
    <xf numFmtId="0" fontId="40" fillId="7" borderId="32" xfId="0" applyFont="1" applyFill="1" applyBorder="1" applyAlignment="1">
      <alignment horizontal="left" vertical="center"/>
    </xf>
    <xf numFmtId="0" fontId="8" fillId="7" borderId="8" xfId="0" applyFont="1" applyFill="1" applyBorder="1" applyAlignment="1">
      <alignment horizontal="center" vertical="center" wrapText="1"/>
    </xf>
    <xf numFmtId="0" fontId="8" fillId="7" borderId="34" xfId="0" applyFont="1" applyFill="1" applyBorder="1" applyAlignment="1">
      <alignment horizontal="center" vertical="center"/>
    </xf>
    <xf numFmtId="0" fontId="3" fillId="0" borderId="33" xfId="0" applyFont="1" applyBorder="1" applyAlignment="1">
      <alignment horizontal="right" vertical="center" wrapText="1"/>
    </xf>
    <xf numFmtId="0" fontId="3" fillId="0" borderId="8" xfId="0" applyFont="1" applyBorder="1" applyAlignment="1">
      <alignment horizontal="right" vertical="center" wrapText="1"/>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3" fillId="0" borderId="41" xfId="0" applyFont="1" applyBorder="1" applyAlignment="1">
      <alignment horizontal="center" vertical="top"/>
    </xf>
    <xf numFmtId="0" fontId="8" fillId="3" borderId="22"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8" fillId="0" borderId="23" xfId="0" applyFont="1" applyBorder="1" applyAlignment="1">
      <alignment horizontal="center" vertical="center" wrapText="1"/>
    </xf>
    <xf numFmtId="0" fontId="41" fillId="3" borderId="24" xfId="0" applyFont="1" applyFill="1" applyBorder="1" applyAlignment="1">
      <alignment horizontal="left" vertical="center" wrapText="1"/>
    </xf>
    <xf numFmtId="0" fontId="41" fillId="3" borderId="42" xfId="0" applyFont="1" applyFill="1" applyBorder="1" applyAlignment="1">
      <alignment horizontal="left" vertical="center" wrapText="1"/>
    </xf>
    <xf numFmtId="0" fontId="45" fillId="0" borderId="35" xfId="0" applyFont="1" applyBorder="1" applyAlignment="1">
      <alignment horizontal="center" vertical="top"/>
    </xf>
    <xf numFmtId="0" fontId="45" fillId="0" borderId="39" xfId="0" applyFont="1" applyBorder="1" applyAlignment="1">
      <alignment horizontal="center" vertical="top"/>
    </xf>
    <xf numFmtId="0" fontId="45" fillId="0" borderId="37" xfId="0" applyFont="1" applyBorder="1" applyAlignment="1">
      <alignment horizontal="center" vertical="top"/>
    </xf>
    <xf numFmtId="0" fontId="3" fillId="3" borderId="2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3" fillId="7" borderId="22" xfId="0" applyFont="1" applyFill="1" applyBorder="1" applyAlignment="1">
      <alignment horizontal="center" vertical="center" wrapText="1"/>
    </xf>
    <xf numFmtId="0" fontId="33" fillId="7" borderId="36" xfId="0" applyFont="1" applyFill="1" applyBorder="1" applyAlignment="1">
      <alignment horizontal="center" vertical="center"/>
    </xf>
    <xf numFmtId="0" fontId="33" fillId="7" borderId="8" xfId="0" applyFont="1" applyFill="1" applyBorder="1" applyAlignment="1">
      <alignment horizontal="center" vertical="center" wrapText="1"/>
    </xf>
    <xf numFmtId="0" fontId="33" fillId="7" borderId="8" xfId="0" applyFont="1" applyFill="1" applyBorder="1" applyAlignment="1">
      <alignment horizontal="center" vertical="center"/>
    </xf>
    <xf numFmtId="0" fontId="3" fillId="3" borderId="0" xfId="0" applyFont="1" applyFill="1" applyAlignment="1">
      <alignment horizontal="left" vertical="center" wrapText="1"/>
    </xf>
    <xf numFmtId="0" fontId="3" fillId="0" borderId="24" xfId="0" applyFont="1" applyBorder="1" applyAlignment="1">
      <alignment horizontal="center" vertical="center"/>
    </xf>
    <xf numFmtId="0" fontId="41" fillId="3" borderId="23"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64" xfId="0" applyFont="1" applyFill="1" applyBorder="1" applyAlignment="1">
      <alignment horizontal="left" vertical="center" wrapText="1"/>
    </xf>
    <xf numFmtId="0" fontId="38" fillId="0" borderId="0" xfId="1" applyFont="1" applyFill="1" applyBorder="1" applyAlignment="1" applyProtection="1">
      <alignment horizontal="left"/>
    </xf>
    <xf numFmtId="0" fontId="3"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45" fillId="0" borderId="55" xfId="0" applyFont="1" applyBorder="1" applyAlignment="1">
      <alignment horizontal="center" vertical="top"/>
    </xf>
    <xf numFmtId="0" fontId="45" fillId="0" borderId="61" xfId="0" applyFont="1" applyBorder="1" applyAlignment="1">
      <alignment horizontal="center" vertical="top"/>
    </xf>
    <xf numFmtId="0" fontId="45" fillId="0" borderId="58" xfId="0" applyFont="1" applyBorder="1" applyAlignment="1">
      <alignment horizontal="center" vertical="top"/>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9" xfId="0" applyFont="1" applyBorder="1" applyAlignment="1">
      <alignment horizontal="center" vertical="center" wrapText="1"/>
    </xf>
    <xf numFmtId="0" fontId="3" fillId="6" borderId="91" xfId="0" applyFont="1" applyFill="1" applyBorder="1" applyAlignment="1">
      <alignment horizontal="center" vertical="center" wrapText="1"/>
    </xf>
    <xf numFmtId="0" fontId="3" fillId="6" borderId="92"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10" borderId="47" xfId="0" applyFont="1" applyFill="1" applyBorder="1" applyAlignment="1">
      <alignment horizontal="center" vertical="center"/>
    </xf>
    <xf numFmtId="0" fontId="3" fillId="10" borderId="49" xfId="0" applyFont="1" applyFill="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2" fontId="3" fillId="6" borderId="33" xfId="0" applyNumberFormat="1" applyFont="1" applyFill="1" applyBorder="1" applyAlignment="1">
      <alignment horizontal="center" vertical="center" wrapText="1"/>
    </xf>
    <xf numFmtId="2" fontId="3" fillId="6" borderId="34" xfId="0" applyNumberFormat="1" applyFont="1" applyFill="1" applyBorder="1" applyAlignment="1">
      <alignment horizontal="center" vertical="center" wrapText="1"/>
    </xf>
    <xf numFmtId="2" fontId="3" fillId="10" borderId="33" xfId="0" applyNumberFormat="1" applyFont="1" applyFill="1" applyBorder="1" applyAlignment="1">
      <alignment horizontal="center" vertical="center"/>
    </xf>
    <xf numFmtId="2" fontId="3" fillId="10" borderId="34" xfId="0" applyNumberFormat="1" applyFont="1" applyFill="1" applyBorder="1" applyAlignment="1">
      <alignment horizontal="center" vertical="center"/>
    </xf>
    <xf numFmtId="164" fontId="8" fillId="6" borderId="33" xfId="0" applyNumberFormat="1" applyFont="1" applyFill="1" applyBorder="1" applyAlignment="1">
      <alignment horizontal="center" vertical="center"/>
    </xf>
    <xf numFmtId="164" fontId="8" fillId="6" borderId="34" xfId="0" applyNumberFormat="1" applyFont="1" applyFill="1" applyBorder="1" applyAlignment="1">
      <alignment horizontal="center" vertical="center"/>
    </xf>
    <xf numFmtId="0" fontId="3" fillId="0" borderId="0" xfId="0" applyFont="1" applyAlignment="1">
      <alignment horizontal="left"/>
    </xf>
    <xf numFmtId="0" fontId="48" fillId="9" borderId="8" xfId="0" applyFont="1" applyFill="1" applyBorder="1" applyAlignment="1">
      <alignment horizontal="center" vertical="center" wrapText="1"/>
    </xf>
    <xf numFmtId="0" fontId="48" fillId="9" borderId="34" xfId="0" applyFont="1" applyFill="1" applyBorder="1" applyAlignment="1">
      <alignment horizontal="center" vertical="center"/>
    </xf>
    <xf numFmtId="0" fontId="41" fillId="3" borderId="93" xfId="0" applyFont="1" applyFill="1" applyBorder="1" applyAlignment="1">
      <alignment horizontal="left" vertical="center" wrapText="1"/>
    </xf>
    <xf numFmtId="0" fontId="41" fillId="3" borderId="94" xfId="0" applyFont="1" applyFill="1" applyBorder="1" applyAlignment="1">
      <alignment horizontal="left" vertical="center" wrapText="1"/>
    </xf>
    <xf numFmtId="0" fontId="25" fillId="3" borderId="15" xfId="0" applyFont="1" applyFill="1" applyBorder="1" applyAlignment="1">
      <alignment horizontal="left" vertical="top" wrapText="1"/>
    </xf>
    <xf numFmtId="0" fontId="25" fillId="3" borderId="18" xfId="0" applyFont="1" applyFill="1" applyBorder="1" applyAlignment="1">
      <alignment horizontal="left" vertical="top"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8" borderId="72" xfId="0" applyFont="1" applyFill="1" applyBorder="1" applyAlignment="1">
      <alignment horizontal="center" vertical="center" wrapText="1"/>
    </xf>
    <xf numFmtId="0" fontId="3" fillId="8" borderId="73" xfId="0" applyFont="1" applyFill="1" applyBorder="1" applyAlignment="1">
      <alignment horizontal="center" vertical="center" wrapText="1"/>
    </xf>
    <xf numFmtId="0" fontId="40" fillId="3" borderId="3" xfId="0" applyFont="1" applyFill="1" applyBorder="1" applyAlignment="1">
      <alignment horizontal="left" vertical="center" wrapText="1"/>
    </xf>
    <xf numFmtId="0" fontId="40" fillId="3" borderId="2" xfId="0" applyFont="1" applyFill="1" applyBorder="1" applyAlignment="1">
      <alignment horizontal="left" vertical="center" wrapText="1"/>
    </xf>
    <xf numFmtId="0" fontId="3" fillId="6" borderId="70" xfId="0" applyFont="1" applyFill="1" applyBorder="1" applyAlignment="1">
      <alignment horizontal="center" vertical="center" wrapText="1"/>
    </xf>
    <xf numFmtId="0" fontId="3" fillId="6" borderId="71" xfId="0" applyFont="1" applyFill="1" applyBorder="1" applyAlignment="1">
      <alignment horizontal="center" vertical="center" wrapText="1"/>
    </xf>
    <xf numFmtId="0" fontId="8" fillId="3" borderId="28"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41" fillId="3" borderId="3" xfId="0" applyFont="1" applyFill="1" applyBorder="1" applyAlignment="1">
      <alignment horizontal="left" vertical="top" wrapText="1"/>
    </xf>
    <xf numFmtId="0" fontId="41" fillId="3" borderId="2" xfId="0" applyFont="1" applyFill="1" applyBorder="1" applyAlignment="1">
      <alignment horizontal="left" vertical="top" wrapText="1"/>
    </xf>
    <xf numFmtId="0" fontId="3" fillId="3" borderId="28"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8" fillId="3" borderId="22"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3" xfId="0" applyFont="1" applyFill="1" applyBorder="1" applyAlignment="1">
      <alignment horizontal="center" vertical="center"/>
    </xf>
    <xf numFmtId="0" fontId="40" fillId="3" borderId="3" xfId="0" applyFont="1" applyFill="1" applyBorder="1" applyAlignment="1">
      <alignment horizontal="left" vertical="top" wrapText="1"/>
    </xf>
    <xf numFmtId="0" fontId="40" fillId="3" borderId="2" xfId="0" applyFont="1" applyFill="1" applyBorder="1" applyAlignment="1">
      <alignment horizontal="left" vertical="top" wrapText="1"/>
    </xf>
    <xf numFmtId="0" fontId="3" fillId="7" borderId="16"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87" xfId="0" applyFont="1" applyFill="1" applyBorder="1" applyAlignment="1">
      <alignment horizontal="center" vertical="center" wrapText="1"/>
    </xf>
    <xf numFmtId="0" fontId="3" fillId="7" borderId="88" xfId="0" applyFont="1" applyFill="1" applyBorder="1" applyAlignment="1">
      <alignment horizontal="center" vertical="center" wrapText="1"/>
    </xf>
    <xf numFmtId="0" fontId="3" fillId="7" borderId="89" xfId="0" applyFont="1" applyFill="1" applyBorder="1" applyAlignment="1">
      <alignment horizontal="center" vertical="center" wrapText="1"/>
    </xf>
    <xf numFmtId="0" fontId="40" fillId="7" borderId="87" xfId="0" applyFont="1" applyFill="1" applyBorder="1" applyAlignment="1">
      <alignment horizontal="left" wrapText="1"/>
    </xf>
    <xf numFmtId="0" fontId="40" fillId="7" borderId="88" xfId="0" applyFont="1" applyFill="1" applyBorder="1" applyAlignment="1">
      <alignment horizontal="left" wrapText="1"/>
    </xf>
    <xf numFmtId="0" fontId="40" fillId="7" borderId="89" xfId="0" applyFont="1" applyFill="1" applyBorder="1" applyAlignment="1">
      <alignment horizontal="left" wrapText="1"/>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3" borderId="27"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5" xfId="0" applyFont="1" applyFill="1" applyBorder="1" applyAlignment="1">
      <alignment horizontal="center" vertical="center" wrapText="1"/>
    </xf>
    <xf numFmtId="0" fontId="3" fillId="6" borderId="87" xfId="0" applyFont="1" applyFill="1" applyBorder="1" applyAlignment="1">
      <alignment horizontal="center" vertical="center" wrapText="1"/>
    </xf>
    <xf numFmtId="0" fontId="3" fillId="6" borderId="89" xfId="0" applyFont="1" applyFill="1" applyBorder="1" applyAlignment="1">
      <alignment horizontal="center" vertical="center" wrapText="1"/>
    </xf>
    <xf numFmtId="0" fontId="40" fillId="5" borderId="78" xfId="0" applyFont="1" applyFill="1" applyBorder="1" applyAlignment="1">
      <alignment horizontal="center" wrapText="1"/>
    </xf>
    <xf numFmtId="0" fontId="40" fillId="5" borderId="95" xfId="0" applyFont="1" applyFill="1" applyBorder="1" applyAlignment="1">
      <alignment horizontal="center" wrapText="1"/>
    </xf>
    <xf numFmtId="0" fontId="40" fillId="5" borderId="79" xfId="0" applyFont="1" applyFill="1" applyBorder="1" applyAlignment="1">
      <alignment horizontal="center" wrapText="1"/>
    </xf>
    <xf numFmtId="0" fontId="31" fillId="0" borderId="35" xfId="0" applyFont="1" applyBorder="1" applyAlignment="1">
      <alignment horizontal="left" vertical="center" wrapText="1"/>
    </xf>
    <xf numFmtId="0" fontId="31" fillId="0" borderId="41" xfId="0" applyFont="1" applyBorder="1" applyAlignment="1">
      <alignment horizontal="left" vertical="center" wrapText="1"/>
    </xf>
  </cellXfs>
  <cellStyles count="12">
    <cellStyle name="Hipersaitas" xfId="1" builtinId="8"/>
    <cellStyle name="Įprastas" xfId="0" builtinId="0"/>
    <cellStyle name="Įprastas 2" xfId="6" xr:uid="{AF05CF2D-D618-4026-9BD3-167FFA3308E9}"/>
    <cellStyle name="Įprastas 3" xfId="10" xr:uid="{1E3A0D5A-4CFA-4BC1-BFAC-8CEAE8013A77}"/>
    <cellStyle name="Įprastas 5" xfId="9" xr:uid="{24352BD7-FF1F-4BCB-A618-16C73D39FFF0}"/>
    <cellStyle name="Įprastas 6" xfId="8" xr:uid="{5A0FAE1B-0450-4951-8345-53579E1BD0FE}"/>
    <cellStyle name="Įprastas 8 2" xfId="7" xr:uid="{8C087F1F-A6E6-49CC-8D19-381F6EC162AB}"/>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____3lentelė - 2,3,4 lapai_3_variantas" xfId="11" xr:uid="{257EF036-731E-4E16-9C4E-3C5C3A13DF22}"/>
  </cellStyles>
  <dxfs count="6">
    <dxf>
      <fill>
        <patternFill>
          <bgColor theme="9" tint="-0.24994659260841701"/>
        </patternFill>
      </fill>
    </dxf>
    <dxf>
      <fill>
        <patternFill>
          <bgColor theme="2" tint="-0.24994659260841701"/>
        </patternFill>
      </fill>
    </dxf>
    <dxf>
      <fill>
        <patternFill>
          <bgColor theme="9" tint="-0.24994659260841701"/>
        </patternFill>
      </fill>
    </dxf>
    <dxf>
      <fill>
        <patternFill>
          <bgColor theme="2" tint="-0.24994659260841701"/>
        </patternFill>
      </fill>
    </dxf>
    <dxf>
      <fill>
        <patternFill>
          <bgColor theme="9" tint="-0.24994659260841701"/>
        </patternFill>
      </fill>
    </dxf>
    <dxf>
      <fill>
        <patternFill>
          <bgColor theme="2" tint="-0.24994659260841701"/>
        </patternFill>
      </fill>
    </dxf>
  </dxfs>
  <tableStyles count="0" defaultTableStyle="TableStyleMedium2" defaultPivotStyle="PivotStyleLight16"/>
  <colors>
    <mruColors>
      <color rgb="FFB5DDF0"/>
      <color rgb="FFC9D6D9"/>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192282</xdr:colOff>
      <xdr:row>0</xdr:row>
      <xdr:rowOff>144780</xdr:rowOff>
    </xdr:from>
    <xdr:to>
      <xdr:col>3</xdr:col>
      <xdr:colOff>2298627</xdr:colOff>
      <xdr:row>0</xdr:row>
      <xdr:rowOff>1240155</xdr:rowOff>
    </xdr:to>
    <xdr:pic>
      <xdr:nvPicPr>
        <xdr:cNvPr id="4" name="Paveikslėlis 3">
          <a:hlinkClick xmlns:r="http://schemas.openxmlformats.org/officeDocument/2006/relationships" r:id="rId1"/>
          <a:extLst>
            <a:ext uri="{FF2B5EF4-FFF2-40B4-BE49-F238E27FC236}">
              <a16:creationId xmlns:a16="http://schemas.microsoft.com/office/drawing/2014/main" id="{52EB93B5-16DA-401D-A594-4AE83511663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779022" y="144780"/>
          <a:ext cx="209872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23</xdr:row>
      <xdr:rowOff>127014</xdr:rowOff>
    </xdr:from>
    <xdr:to>
      <xdr:col>4</xdr:col>
      <xdr:colOff>599327</xdr:colOff>
      <xdr:row>24</xdr:row>
      <xdr:rowOff>185684</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31</xdr:row>
      <xdr:rowOff>279621</xdr:rowOff>
    </xdr:from>
    <xdr:to>
      <xdr:col>4</xdr:col>
      <xdr:colOff>1269615</xdr:colOff>
      <xdr:row>31</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〖0,5⋅Y〗_np10t</a:t>
              </a:r>
              <a:endParaRPr lang="lt-LT" sz="800" i="0"/>
            </a:p>
          </xdr:txBody>
        </xdr:sp>
      </mc:Fallback>
    </mc:AlternateContent>
    <xdr:clientData/>
  </xdr:twoCellAnchor>
  <xdr:twoCellAnchor editAs="oneCell">
    <xdr:from>
      <xdr:col>3</xdr:col>
      <xdr:colOff>193812</xdr:colOff>
      <xdr:row>33</xdr:row>
      <xdr:rowOff>94256</xdr:rowOff>
    </xdr:from>
    <xdr:to>
      <xdr:col>4</xdr:col>
      <xdr:colOff>1393030</xdr:colOff>
      <xdr:row>33</xdr:row>
      <xdr:rowOff>750094</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ad>
                          <m:radPr>
                            <m:ctrlPr>
                              <a:rPr lang="en-US" sz="1100" b="0" i="1" baseline="0">
                                <a:effectLst/>
                                <a:latin typeface="Cambria Math" panose="02040503050406030204" pitchFamily="18" charset="0"/>
                                <a:ea typeface="+mn-ea"/>
                                <a:cs typeface="+mn-cs"/>
                              </a:rPr>
                            </m:ctrlPr>
                          </m:radPr>
                          <m:deg>
                            <m:r>
                              <m:rPr>
                                <m:brk m:alnAt="7"/>
                              </m:rPr>
                              <a:rPr lang="en-US" sz="1100" b="0" i="1" baseline="0">
                                <a:effectLst/>
                                <a:latin typeface="Cambria Math" panose="02040503050406030204" pitchFamily="18" charset="0"/>
                                <a:ea typeface="+mn-ea"/>
                                <a:cs typeface="+mn-cs"/>
                              </a:rPr>
                              <m:t>1</m:t>
                            </m:r>
                            <m:r>
                              <a:rPr lang="en-US" sz="1100" b="0" i="1" baseline="0">
                                <a:effectLst/>
                                <a:latin typeface="Cambria Math" panose="02040503050406030204" pitchFamily="18" charset="0"/>
                                <a:ea typeface="+mn-ea"/>
                                <a:cs typeface="+mn-cs"/>
                              </a:rPr>
                              <m:t>0</m:t>
                            </m:r>
                          </m:deg>
                          <m:e>
                            <m:f>
                              <m:fPr>
                                <m:ctrlPr>
                                  <a:rPr lang="en-US" sz="1100" b="0" i="1" baseline="0">
                                    <a:effectLst/>
                                    <a:latin typeface="Cambria Math" panose="02040503050406030204" pitchFamily="18" charset="0"/>
                                    <a:ea typeface="+mn-ea"/>
                                    <a:cs typeface="+mn-cs"/>
                                  </a:rPr>
                                </m:ctrlPr>
                              </m:fPr>
                              <m:num>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d>
                                  <m:dPr>
                                    <m:ctrlPr>
                                      <a:rPr lang="en-US" sz="1100" b="0" i="1" baseline="0">
                                        <a:effectLst/>
                                        <a:latin typeface="Cambria Math" panose="02040503050406030204" pitchFamily="18" charset="0"/>
                                        <a:ea typeface="+mn-ea"/>
                                        <a:cs typeface="+mn-cs"/>
                                      </a:rPr>
                                    </m:ctrlPr>
                                  </m:dPr>
                                  <m:e>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+2</m:t>
                                    </m:r>
                                  </m:e>
                                </m:d>
                              </m:num>
                              <m:den>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r>
                                  <a:rPr lang="en-US" sz="1100" b="0" i="1" baseline="0">
                                    <a:effectLst/>
                                    <a:latin typeface="Cambria Math" panose="02040503050406030204" pitchFamily="18" charset="0"/>
                                    <a:ea typeface="+mn-ea"/>
                                    <a:cs typeface="+mn-cs"/>
                                  </a:rPr>
                                  <m:t>(</m:t>
                                </m:r>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−8)</m:t>
                                </m:r>
                              </m:den>
                            </m:f>
                          </m:e>
                        </m:rad>
                        <m:sSub>
                          <m:sSubPr>
                            <m:ctrlPr>
                              <a:rPr lang="en-US" sz="1100" b="0" i="1" baseline="0">
                                <a:effectLst/>
                                <a:latin typeface="Cambria Math" panose="02040503050406030204" pitchFamily="18" charset="0"/>
                                <a:ea typeface="+mn-ea"/>
                                <a:cs typeface="+mn-cs"/>
                              </a:rPr>
                            </m:ctrlPr>
                          </m:sSubPr>
                          <m:e>
                            <m:r>
                              <a:rPr lang="en-US" sz="1100" b="0" i="1" baseline="0">
                                <a:effectLst/>
                                <a:latin typeface="Cambria Math" panose="02040503050406030204" pitchFamily="18" charset="0"/>
                                <a:ea typeface="+mn-ea"/>
                                <a:cs typeface="+mn-cs"/>
                              </a:rPr>
                              <m:t>𝑑</m:t>
                            </m:r>
                          </m:e>
                          <m:sub>
                            <m:r>
                              <a:rPr lang="en-US" sz="1100" b="0" i="1" baseline="0">
                                <a:effectLst/>
                                <a:latin typeface="Cambria Math" panose="02040503050406030204" pitchFamily="18" charset="0"/>
                                <a:ea typeface="+mn-ea"/>
                                <a:cs typeface="+mn-cs"/>
                              </a:rPr>
                              <m:t>𝑡</m:t>
                            </m:r>
                          </m:sub>
                        </m:sSub>
                        <m:r>
                          <a:rPr lang="en-US" sz="1100" b="0" i="1" baseline="0">
                            <a:effectLst/>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lang="en-US" sz="1100" b="0" i="0" baseline="0">
                  <a:effectLst/>
                  <a:latin typeface="+mn-lt"/>
                  <a:ea typeface="+mn-ea"/>
                  <a:cs typeface="+mn-cs"/>
                </a:rPr>
                <a:t>10&amp;(Y^∗ (t+2))/(Y^∗ (t−8)))𝑑_𝑡−</a:t>
              </a:r>
              <a:r>
                <a:rPr lang="en-US" sz="1100" b="0" i="0" baseline="0">
                  <a:effectLst/>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)∗100</a:t>
              </a:r>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27</xdr:row>
      <xdr:rowOff>200504</xdr:rowOff>
    </xdr:from>
    <xdr:to>
      <xdr:col>4</xdr:col>
      <xdr:colOff>890124</xdr:colOff>
      <xdr:row>29</xdr:row>
      <xdr:rowOff>84</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13</xdr:row>
      <xdr:rowOff>78342</xdr:rowOff>
    </xdr:from>
    <xdr:to>
      <xdr:col>4</xdr:col>
      <xdr:colOff>1025270</xdr:colOff>
      <xdr:row>15</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7</xdr:row>
      <xdr:rowOff>177586</xdr:rowOff>
    </xdr:from>
    <xdr:to>
      <xdr:col>4</xdr:col>
      <xdr:colOff>1194660</xdr:colOff>
      <xdr:row>9</xdr:row>
      <xdr:rowOff>354794</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580496</xdr:colOff>
      <xdr:row>31</xdr:row>
      <xdr:rowOff>738132</xdr:rowOff>
    </xdr:from>
    <xdr:to>
      <xdr:col>4</xdr:col>
      <xdr:colOff>852569</xdr:colOff>
      <xdr:row>33</xdr:row>
      <xdr:rowOff>10433</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vkontrolelt.sharepoint.com/sites/BPSD/Bendrai%20naudojami%20dokumentai/General/11%20Isvados%20ir%20ataskaitos/I&#353;vados%202023/2.%20Lietuvos%20stabilumo%20programa/02.%20I&#353;vad&#261;%20sudaran&#269;ios%20dalys/FDT%20ex-post/FDT+LT+EN+2023-04-18_ex-post_su_istorija.xlsx" TargetMode="External"/><Relationship Id="rId2" Type="http://schemas.microsoft.com/office/2019/04/relationships/externalLinkLongPath" Target="/sites/BPSD/Bendrai%20naudojami%20dokumentai/General/11%20Isvados%20ir%20ataskaitos/I&#353;vados%202023/2.%20Lietuvos%20stabilumo%20programa/02.%20I&#353;vad&#261;%20sudaran&#269;ios%20dalys/FDT%20ex-post/FDT+LT+EN+2023-04-18_ex-post_su_istorija.xlsx?DDF54037" TargetMode="External"/><Relationship Id="rId1" Type="http://schemas.openxmlformats.org/officeDocument/2006/relationships/externalLinkPath" Target="file:///\\DDF54037\FDT+LT+EN+2023-04-18_ex-post_su_istorija.xlsx" TargetMode="External"/><Relationship Id="rId4" Type="http://schemas.openxmlformats.org/officeDocument/2006/relationships/externalLinkPath" Target="../../../../sites/BPSD/Bendrai%20naudojami%20dokumentai/General/11%20Isvados%20ir%20ataskaitos/I&#353;vados%202023/2.%20Lietuvos%20stabilumo%20programa/02.%20I&#353;vad&#261;%20sudaran&#269;ios%20dalys/FDT%20ex-post/FDT+LT+EN+2023-04-18_ex-post_su_istorij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vkontrolelt.sharepoint.com/sites/BPSD/Bendrai%20naudojami%20dokumentai/General/11%20Isvados%20ir%20ataskaitos/I&#353;vados%202020/Vald&#382;ios%20sektoriaus%20biud&#382;et&#371;%20projekt&#371;%20vertinimas/02.%20I&#353;vad&#261;%20sudaran&#269;ios%20dalys/FDT%20taisykl&#279;s/FDT%20skai&#269;iuokl&#279;/FDT+LT+EN+2020_2020.11.10_0419.xlsm" TargetMode="External"/><Relationship Id="rId2" Type="http://schemas.microsoft.com/office/2019/04/relationships/externalLinkLongPath" Target="/sites/BPSD/Bendrai%20naudojami%20dokumentai/General/11%20Isvados%20ir%20ataskaitos/I&#353;vados%202020/Vald&#382;ios%20sektoriaus%20biud&#382;et&#371;%20projekt&#371;%20vertinimas/02.%20I&#353;vad&#261;%20sudaran&#269;ios%20dalys/FDT%20taisykl&#279;s/FDT%20skai&#269;iuokl&#279;/FDT+LT+EN+2020_2020.11.10_0419.xlsm?A1BC6CA4" TargetMode="External"/><Relationship Id="rId1" Type="http://schemas.openxmlformats.org/officeDocument/2006/relationships/externalLinkPath" Target="file:///\\A1BC6CA4\FDT+LT+EN+2020_2020.11.10_0419.xlsm" TargetMode="External"/><Relationship Id="rId4" Type="http://schemas.openxmlformats.org/officeDocument/2006/relationships/externalLinkPath" Target="../../../../sites/BPSD/Bendrai%20naudojami%20dokumentai/General/11%20Isvados%20ir%20ataskaitos/I&#353;vados%202020/Vald&#382;ios%20sektoriaus%20biud&#382;et&#371;%20projekt&#371;%20vertinimas/02.%20I&#353;vad&#261;%20sudaran&#269;ios%20dalys/FDT%20taisykl&#279;s/FDT%20skai&#269;iuokl&#279;/FDT+LT+EN+2020_2020.11.10_04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ntent"/>
      <sheetName val="1. Summary"/>
      <sheetName val="2. Macro"/>
      <sheetName val="3. GGbudget"/>
      <sheetName val="4. SurplusGG"/>
      <sheetName val="5. GGexpenditure"/>
      <sheetName val="6. GGbudgets"/>
      <sheetName val="7. History"/>
    </sheetNames>
    <sheetDataSet>
      <sheetData sheetId="0" refreshError="1"/>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Tech"/>
      <sheetName val="Content"/>
      <sheetName val="1. Summary"/>
      <sheetName val="2. Macro"/>
      <sheetName val="3. GGbudget"/>
      <sheetName val="4. Municipalities"/>
      <sheetName val="5. SurplusGG"/>
      <sheetName val="6. GGexpenditure"/>
      <sheetName val="7. GGbudget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ema">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seimas.lrs.lt/portal/legalAct/en/TAD/TAIS.347753?jfwid=-wd7z8myik" TargetMode="External"/><Relationship Id="rId7" Type="http://schemas.openxmlformats.org/officeDocument/2006/relationships/hyperlink" Target="https://economy-finance.ec.europa.eu/economic-governance-framework/stability-and-growth-pact/legal-basis-stability-and-growth-pact_en"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hyperlink" Target="https://www.e-tar.lt/portal/en/legalAct/TAR.2DD07D41B8F1/asr" TargetMode="External"/><Relationship Id="rId5" Type="http://schemas.openxmlformats.org/officeDocument/2006/relationships/hyperlink" Target="https://www.e-tar.lt/portal/lt/legalAct/TAR.2DD07D41B8F1/asr" TargetMode="External"/><Relationship Id="rId4" Type="http://schemas.openxmlformats.org/officeDocument/2006/relationships/hyperlink" Target="https://e-seimas.lrs.lt/portal/legalAct/lt/TAD/c4be7b32bb6b11e4a939cd67303e5a1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eur-lex.europa.eu/legal-content/EN/TXT/HTML/?uri=OJ:C_202503959" TargetMode="External"/><Relationship Id="rId2" Type="http://schemas.openxmlformats.org/officeDocument/2006/relationships/hyperlink" Target="https://eur-lex.europa.eu/legal-content/lt/TXT/HTML/?uri=OJ:C_202503969" TargetMode="External"/><Relationship Id="rId1" Type="http://schemas.openxmlformats.org/officeDocument/2006/relationships/hyperlink" Target="https://eur-lex.europa.eu/legal-content/LT/TXT/HTML/?uri=OJ:C_202503959" TargetMode="External"/><Relationship Id="rId4" Type="http://schemas.openxmlformats.org/officeDocument/2006/relationships/hyperlink" Target="https://eur-lex.europa.eu/legal-content/en/TXT/HTML/?uri=OJ:C_2025039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theme="7" tint="-0.499984740745262"/>
  </sheetPr>
  <dimension ref="C1:H45"/>
  <sheetViews>
    <sheetView showGridLines="0" tabSelected="1" workbookViewId="0">
      <selection activeCell="C3" sqref="C3:D3"/>
    </sheetView>
  </sheetViews>
  <sheetFormatPr defaultColWidth="10" defaultRowHeight="14.25"/>
  <cols>
    <col min="1" max="1" width="0.42578125" style="44" customWidth="1"/>
    <col min="2" max="2" width="3.5703125" style="44" customWidth="1"/>
    <col min="3" max="3" width="4.5703125" style="9" customWidth="1"/>
    <col min="4" max="4" width="105.7109375" style="9" customWidth="1"/>
    <col min="5" max="5" width="3.7109375" style="44" customWidth="1"/>
    <col min="6" max="6" width="10" style="44"/>
    <col min="7" max="7" width="10.5703125" style="44" customWidth="1"/>
    <col min="8" max="16384" width="10" style="44"/>
  </cols>
  <sheetData>
    <row r="1" spans="3:7" ht="109.5" customHeight="1" thickBot="1">
      <c r="C1" s="396"/>
      <c r="D1" s="397"/>
      <c r="E1" s="398"/>
    </row>
    <row r="2" spans="3:7">
      <c r="C2" s="56"/>
      <c r="D2" s="57"/>
      <c r="E2" s="58"/>
    </row>
    <row r="3" spans="3:7" ht="35.25" customHeight="1">
      <c r="C3" s="399" t="s">
        <v>0</v>
      </c>
      <c r="D3" s="400"/>
      <c r="E3" s="59"/>
    </row>
    <row r="4" spans="3:7">
      <c r="C4" s="60"/>
      <c r="D4" s="61"/>
      <c r="E4" s="62"/>
    </row>
    <row r="5" spans="3:7" ht="16.149999999999999" customHeight="1">
      <c r="C5" s="401" t="s">
        <v>1</v>
      </c>
      <c r="D5" s="402"/>
      <c r="E5" s="62"/>
      <c r="G5" s="50"/>
    </row>
    <row r="6" spans="3:7">
      <c r="C6" s="60"/>
      <c r="D6" s="61"/>
      <c r="E6" s="62"/>
    </row>
    <row r="7" spans="3:7" ht="18">
      <c r="C7" s="403" t="s">
        <v>2</v>
      </c>
      <c r="D7" s="404"/>
      <c r="E7" s="63"/>
    </row>
    <row r="8" spans="3:7">
      <c r="C8" s="60"/>
      <c r="D8" s="61"/>
      <c r="E8" s="62"/>
    </row>
    <row r="9" spans="3:7" ht="245.45" customHeight="1">
      <c r="C9" s="60"/>
      <c r="D9" s="257" t="s">
        <v>3</v>
      </c>
      <c r="E9" s="64"/>
    </row>
    <row r="10" spans="3:7">
      <c r="C10" s="60"/>
      <c r="D10" s="61"/>
      <c r="E10" s="62"/>
    </row>
    <row r="11" spans="3:7" ht="18">
      <c r="C11" s="403" t="s">
        <v>4</v>
      </c>
      <c r="D11" s="404"/>
      <c r="E11" s="63"/>
    </row>
    <row r="12" spans="3:7">
      <c r="C12" s="60"/>
      <c r="D12" s="61"/>
      <c r="E12" s="62"/>
    </row>
    <row r="13" spans="3:7">
      <c r="C13" s="60"/>
      <c r="D13" s="65" t="s">
        <v>5</v>
      </c>
      <c r="E13" s="62"/>
    </row>
    <row r="14" spans="3:7">
      <c r="C14" s="60"/>
      <c r="D14" s="61"/>
      <c r="E14" s="62"/>
    </row>
    <row r="15" spans="3:7" ht="18">
      <c r="C15" s="403" t="s">
        <v>6</v>
      </c>
      <c r="D15" s="404"/>
      <c r="E15" s="63"/>
    </row>
    <row r="16" spans="3:7">
      <c r="C16" s="60"/>
      <c r="D16" s="61"/>
      <c r="E16" s="62"/>
    </row>
    <row r="17" spans="3:8">
      <c r="C17" s="60"/>
      <c r="D17" s="65" t="s">
        <v>7</v>
      </c>
      <c r="E17" s="62"/>
    </row>
    <row r="18" spans="3:8">
      <c r="C18" s="60"/>
      <c r="D18" s="65" t="s">
        <v>8</v>
      </c>
      <c r="E18" s="62"/>
    </row>
    <row r="19" spans="3:8">
      <c r="C19" s="60"/>
      <c r="D19" s="61"/>
      <c r="E19" s="62"/>
    </row>
    <row r="20" spans="3:8" ht="18">
      <c r="C20" s="403" t="s">
        <v>9</v>
      </c>
      <c r="D20" s="404"/>
      <c r="E20" s="63"/>
    </row>
    <row r="21" spans="3:8">
      <c r="C21" s="60"/>
      <c r="D21" s="61"/>
      <c r="E21" s="62"/>
    </row>
    <row r="22" spans="3:8">
      <c r="C22" s="60"/>
      <c r="D22" s="65" t="s">
        <v>10</v>
      </c>
      <c r="E22" s="62"/>
      <c r="H22" s="44" t="s">
        <v>11</v>
      </c>
    </row>
    <row r="23" spans="3:8">
      <c r="C23" s="60"/>
      <c r="D23" s="65" t="s">
        <v>12</v>
      </c>
      <c r="E23" s="62"/>
    </row>
    <row r="24" spans="3:8">
      <c r="C24" s="60"/>
      <c r="D24" s="65" t="s">
        <v>13</v>
      </c>
      <c r="E24" s="62"/>
    </row>
    <row r="25" spans="3:8">
      <c r="C25" s="60"/>
      <c r="D25" s="65"/>
      <c r="E25" s="62"/>
    </row>
    <row r="26" spans="3:8" ht="18">
      <c r="C26" s="403" t="s">
        <v>14</v>
      </c>
      <c r="D26" s="404"/>
      <c r="E26" s="63"/>
    </row>
    <row r="27" spans="3:8" ht="11.45" customHeight="1">
      <c r="C27" s="250"/>
      <c r="D27" s="251"/>
      <c r="E27" s="252"/>
    </row>
    <row r="28" spans="3:8">
      <c r="C28" s="60"/>
      <c r="D28" s="253" t="s">
        <v>15</v>
      </c>
      <c r="E28" s="62"/>
    </row>
    <row r="29" spans="3:8">
      <c r="C29" s="60"/>
      <c r="D29" s="61"/>
      <c r="E29" s="62"/>
    </row>
    <row r="30" spans="3:8" ht="34.15" customHeight="1">
      <c r="C30" s="405" t="s">
        <v>16</v>
      </c>
      <c r="D30" s="406"/>
      <c r="E30" s="377"/>
    </row>
    <row r="31" spans="3:8" ht="13.15" customHeight="1">
      <c r="C31" s="300"/>
      <c r="D31" s="301"/>
      <c r="E31" s="302"/>
    </row>
    <row r="32" spans="3:8" ht="15.6" customHeight="1">
      <c r="C32" s="300"/>
      <c r="D32" s="303" t="s">
        <v>17</v>
      </c>
      <c r="E32" s="302"/>
    </row>
    <row r="33" spans="3:5">
      <c r="C33" s="60"/>
      <c r="D33" s="61"/>
      <c r="E33" s="62"/>
    </row>
    <row r="34" spans="3:5" ht="18">
      <c r="C34" s="403" t="s">
        <v>18</v>
      </c>
      <c r="D34" s="404"/>
      <c r="E34" s="63"/>
    </row>
    <row r="35" spans="3:5">
      <c r="C35" s="60"/>
      <c r="D35" s="370"/>
      <c r="E35" s="62"/>
    </row>
    <row r="36" spans="3:5">
      <c r="C36" s="60" t="s">
        <v>19</v>
      </c>
      <c r="D36" s="371" t="s">
        <v>20</v>
      </c>
      <c r="E36" s="62"/>
    </row>
    <row r="37" spans="3:5">
      <c r="C37" s="66" t="s">
        <v>21</v>
      </c>
      <c r="D37" s="372" t="s">
        <v>22</v>
      </c>
      <c r="E37" s="62"/>
    </row>
    <row r="38" spans="3:5">
      <c r="C38" s="60" t="s">
        <v>23</v>
      </c>
      <c r="D38" s="371" t="s">
        <v>24</v>
      </c>
      <c r="E38" s="62"/>
    </row>
    <row r="39" spans="3:5">
      <c r="C39" s="66" t="s">
        <v>25</v>
      </c>
      <c r="D39" s="372" t="s">
        <v>26</v>
      </c>
      <c r="E39" s="62"/>
    </row>
    <row r="40" spans="3:5">
      <c r="C40" s="60" t="s">
        <v>27</v>
      </c>
      <c r="D40" s="373" t="s">
        <v>28</v>
      </c>
      <c r="E40" s="62"/>
    </row>
    <row r="41" spans="3:5">
      <c r="C41" s="66" t="s">
        <v>29</v>
      </c>
      <c r="D41" s="374" t="s">
        <v>30</v>
      </c>
      <c r="E41" s="62"/>
    </row>
    <row r="42" spans="3:5">
      <c r="C42" s="66"/>
      <c r="D42" s="395" t="s">
        <v>31</v>
      </c>
      <c r="E42" s="62"/>
    </row>
    <row r="43" spans="3:5" ht="9.6" customHeight="1" thickBot="1">
      <c r="C43" s="67"/>
      <c r="D43" s="375"/>
      <c r="E43" s="68"/>
    </row>
    <row r="44" spans="3:5">
      <c r="D44" s="376"/>
    </row>
    <row r="45" spans="3:5">
      <c r="D45" s="376"/>
    </row>
  </sheetData>
  <mergeCells count="10">
    <mergeCell ref="C1:E1"/>
    <mergeCell ref="C3:D3"/>
    <mergeCell ref="C5:D5"/>
    <mergeCell ref="C7:D7"/>
    <mergeCell ref="C34:D34"/>
    <mergeCell ref="C11:D11"/>
    <mergeCell ref="C15:D15"/>
    <mergeCell ref="C20:D20"/>
    <mergeCell ref="C26:D26"/>
    <mergeCell ref="C30:D30"/>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36" r:id="rId1" display="http://www3.lrs.lt/pls/inter3/dokpaieska.showdoc_l?p_id=487268&amp;p_tr2=2" xr:uid="{DDC9A2C8-E1C0-4CF4-BC74-7FF78E256ED8}"/>
    <hyperlink ref="D38" r:id="rId2" display="Lietuvos Respublikos fiskalinės drausmės įstatymas" xr:uid="{F4FFA9C7-1444-4704-90F5-2ECFABD928E1}"/>
    <hyperlink ref="D39" r:id="rId3" xr:uid="{3C5B1BA1-E78A-448A-B1EF-3C53FDDD686B}"/>
    <hyperlink ref="D37" r:id="rId4" xr:uid="{AB0085CB-F5E8-4B40-995B-4E4EFCC9A3FD}"/>
    <hyperlink ref="D28" location="'7. History'!A1" display="7. Istorinis taisyklių laikymasis / Historical adherence to fiscal rules" xr:uid="{B7035896-7775-4191-A1D3-81E3D9E3D154}"/>
    <hyperlink ref="D32" location="'8. NET_EXP_EU'!A1" display="8. Grynųjų išlaidų augimo atitiktis FSP riboms / Net expenditure growth compliance with FSP limits" xr:uid="{BCC51EB3-549C-401D-8CC7-5D66C2E93444}"/>
    <hyperlink ref="D40" r:id="rId5" xr:uid="{4639B2A2-D41D-4023-971E-88C29001AD81}"/>
    <hyperlink ref="D41" r:id="rId6" xr:uid="{7BF0481D-953F-464A-B871-8E9008BC23B2}"/>
    <hyperlink ref="D42" r:id="rId7" xr:uid="{36A122AF-C97B-4FD3-9A49-5BF010A812F5}"/>
  </hyperlinks>
  <pageMargins left="0.7" right="0.7" top="0.75" bottom="0.75" header="0.3" footer="0.3"/>
  <pageSetup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theme="7"/>
  </sheetPr>
  <dimension ref="A1:E35"/>
  <sheetViews>
    <sheetView showGridLines="0" zoomScaleNormal="100" workbookViewId="0">
      <selection activeCell="F28" sqref="F28"/>
    </sheetView>
  </sheetViews>
  <sheetFormatPr defaultColWidth="10" defaultRowHeight="14.25"/>
  <cols>
    <col min="1" max="1" width="4.28515625" style="1" customWidth="1"/>
    <col min="2" max="2" width="62.28515625" style="5" customWidth="1"/>
    <col min="3" max="4" width="19.42578125" style="5" customWidth="1"/>
    <col min="5" max="5" width="9.42578125" style="1" customWidth="1"/>
    <col min="6" max="6" width="51.7109375" style="1" customWidth="1"/>
    <col min="7" max="16384" width="10" style="1"/>
  </cols>
  <sheetData>
    <row r="1" spans="1:4">
      <c r="B1" s="69" t="s">
        <v>32</v>
      </c>
      <c r="C1" s="3"/>
      <c r="D1" s="3"/>
    </row>
    <row r="2" spans="1:4" ht="15" thickBot="1">
      <c r="A2" s="4" t="s">
        <v>33</v>
      </c>
    </row>
    <row r="3" spans="1:4" ht="35.25" customHeight="1" thickTop="1" thickBot="1">
      <c r="B3" s="412" t="s">
        <v>34</v>
      </c>
      <c r="C3" s="413"/>
      <c r="D3" s="414"/>
    </row>
    <row r="4" spans="1:4" ht="17.25" customHeight="1" thickBot="1">
      <c r="B4" s="164" t="s">
        <v>35</v>
      </c>
      <c r="C4" s="418"/>
      <c r="D4" s="419"/>
    </row>
    <row r="5" spans="1:4" ht="33" customHeight="1" thickBot="1">
      <c r="B5" s="165" t="s">
        <v>36</v>
      </c>
      <c r="C5" s="90" t="s">
        <v>37</v>
      </c>
      <c r="D5" s="97" t="s">
        <v>38</v>
      </c>
    </row>
    <row r="6" spans="1:4" ht="17.25" customHeight="1">
      <c r="B6" s="166" t="s">
        <v>39</v>
      </c>
      <c r="C6" s="422" t="str">
        <f>'4. SurplusGG'!E6</f>
        <v>Ne</v>
      </c>
      <c r="D6" s="423"/>
    </row>
    <row r="7" spans="1:4" ht="17.25" customHeight="1" thickBot="1">
      <c r="B7" s="167" t="s">
        <v>40</v>
      </c>
      <c r="C7" s="424" t="str">
        <f>'4. SurplusGG'!E7</f>
        <v>No</v>
      </c>
      <c r="D7" s="425"/>
    </row>
    <row r="8" spans="1:4" ht="17.45" customHeight="1" thickBot="1">
      <c r="B8" s="415" t="s">
        <v>41</v>
      </c>
      <c r="C8" s="416"/>
      <c r="D8" s="417"/>
    </row>
    <row r="9" spans="1:4" ht="17.45" customHeight="1" thickBot="1">
      <c r="B9" s="410" t="s">
        <v>42</v>
      </c>
      <c r="C9" s="91" t="str">
        <f>"Netaikoma"</f>
        <v>Netaikoma</v>
      </c>
      <c r="D9" s="95" t="str">
        <f>"Netaikoma"</f>
        <v>Netaikoma</v>
      </c>
    </row>
    <row r="10" spans="1:4" ht="53.45" customHeight="1">
      <c r="B10" s="411"/>
      <c r="C10" s="93" t="str">
        <f>"Remiantis KĮ 10 str. 5 d."</f>
        <v>Remiantis KĮ 10 str. 5 d.</v>
      </c>
      <c r="D10" s="94" t="str">
        <f>"Remiantis KĮ 10 str. 5 d."</f>
        <v>Remiantis KĮ 10 str. 5 d.</v>
      </c>
    </row>
    <row r="11" spans="1:4" ht="15.75" customHeight="1" thickBot="1">
      <c r="B11" s="420" t="s">
        <v>43</v>
      </c>
      <c r="C11" s="134" t="str">
        <f>"Not applied"</f>
        <v>Not applied</v>
      </c>
      <c r="D11" s="163" t="str">
        <f>"Not applied"</f>
        <v>Not applied</v>
      </c>
    </row>
    <row r="12" spans="1:4" ht="41.45" customHeight="1" thickBot="1">
      <c r="B12" s="421"/>
      <c r="C12" s="92" t="str">
        <f>"In accordance with Article 10(5) of the CL"</f>
        <v>In accordance with Article 10(5) of the CL</v>
      </c>
      <c r="D12" s="96" t="s">
        <v>44</v>
      </c>
    </row>
    <row r="13" spans="1:4" ht="21" customHeight="1" thickBot="1">
      <c r="B13" s="407" t="s">
        <v>45</v>
      </c>
      <c r="C13" s="408"/>
      <c r="D13" s="409"/>
    </row>
    <row r="14" spans="1:4" ht="18" customHeight="1" thickBot="1">
      <c r="B14" s="430" t="s">
        <v>46</v>
      </c>
      <c r="C14" s="91" t="str">
        <f>'5. GGexpenditure'!F23</f>
        <v>Taip</v>
      </c>
      <c r="D14" s="95" t="str">
        <f>'5. GGexpenditure'!G23</f>
        <v>Taip</v>
      </c>
    </row>
    <row r="15" spans="1:4" ht="48.75" customHeight="1">
      <c r="B15" s="431"/>
      <c r="C15" s="93" t="str">
        <f>'5. GGexpenditure'!F24</f>
        <v>Susidaro A1 A5 aplinkybės</v>
      </c>
      <c r="D15" s="94" t="str">
        <f>'5. GGexpenditure'!G24</f>
        <v>Susidaro A1 A5 aplinkybės</v>
      </c>
    </row>
    <row r="16" spans="1:4" ht="18" customHeight="1">
      <c r="B16" s="432" t="s">
        <v>47</v>
      </c>
      <c r="C16" s="134" t="str">
        <f>'5. GGexpenditure'!F25</f>
        <v>Yes</v>
      </c>
      <c r="D16" s="163" t="str">
        <f>'5. GGexpenditure'!G25</f>
        <v>Yes</v>
      </c>
    </row>
    <row r="17" spans="2:5" ht="52.5" customHeight="1" thickBot="1">
      <c r="B17" s="433"/>
      <c r="C17" s="92" t="str">
        <f>'5. GGexpenditure'!F26</f>
        <v>Escape clauses A1 A5 emerge</v>
      </c>
      <c r="D17" s="96" t="str">
        <f>'5. GGexpenditure'!G26</f>
        <v>Escape clauses A1 A5 emerge</v>
      </c>
    </row>
    <row r="18" spans="2:5" ht="22.5" customHeight="1">
      <c r="B18" s="431" t="s">
        <v>48</v>
      </c>
      <c r="C18" s="91" t="str">
        <f>'5. GGexpenditure'!F31</f>
        <v>Netaikoma</v>
      </c>
      <c r="D18" s="95" t="str">
        <f>'5. GGexpenditure'!G31</f>
        <v>Netaikoma</v>
      </c>
    </row>
    <row r="19" spans="2:5" ht="69" customHeight="1">
      <c r="B19" s="434"/>
      <c r="C19" s="93" t="s">
        <v>49</v>
      </c>
      <c r="D19" s="94" t="s">
        <v>49</v>
      </c>
    </row>
    <row r="20" spans="2:5">
      <c r="B20" s="432" t="s">
        <v>50</v>
      </c>
      <c r="C20" s="134" t="str">
        <f>'5. GGexpenditure'!F33</f>
        <v>Not applied</v>
      </c>
      <c r="D20" s="163" t="str">
        <f>'5. GGexpenditure'!G33</f>
        <v>Not applied</v>
      </c>
    </row>
    <row r="21" spans="2:5" ht="64.5" customHeight="1" thickBot="1">
      <c r="B21" s="433"/>
      <c r="C21" s="92" t="s">
        <v>44</v>
      </c>
      <c r="D21" s="96" t="s">
        <v>44</v>
      </c>
    </row>
    <row r="22" spans="2:5" ht="19.5" customHeight="1">
      <c r="B22" s="168" t="s">
        <v>51</v>
      </c>
      <c r="C22" s="91" t="str">
        <f>'5. GGexpenditure'!F31</f>
        <v>Netaikoma</v>
      </c>
      <c r="D22" s="95" t="str">
        <f>'5. GGexpenditure'!G31</f>
        <v>Netaikoma</v>
      </c>
    </row>
    <row r="23" spans="2:5" ht="15" thickBot="1">
      <c r="B23" s="167" t="s">
        <v>52</v>
      </c>
      <c r="C23" s="92" t="str">
        <f>'5. GGexpenditure'!F33</f>
        <v>Not applied</v>
      </c>
      <c r="D23" s="96" t="str">
        <f>'5. GGexpenditure'!G33</f>
        <v>Not applied</v>
      </c>
    </row>
    <row r="24" spans="2:5" ht="15.75" customHeight="1" thickBot="1">
      <c r="B24" s="407" t="s">
        <v>53</v>
      </c>
      <c r="C24" s="408" t="s">
        <v>54</v>
      </c>
      <c r="D24" s="409"/>
    </row>
    <row r="25" spans="2:5">
      <c r="B25" s="168" t="s">
        <v>55</v>
      </c>
      <c r="C25" s="91" t="str">
        <f>'6. GGbudgets'!E9</f>
        <v>Netenkinama</v>
      </c>
      <c r="D25" s="95" t="str">
        <f>'6. GGbudgets'!F9</f>
        <v>Netenkinama</v>
      </c>
    </row>
    <row r="26" spans="2:5" ht="15" thickBot="1">
      <c r="B26" s="167" t="s">
        <v>56</v>
      </c>
      <c r="C26" s="92" t="str">
        <f>'6. GGbudgets'!E10</f>
        <v xml:space="preserve">Invalid </v>
      </c>
      <c r="D26" s="96" t="str">
        <f>'6. GGbudgets'!F10</f>
        <v xml:space="preserve">Invalid </v>
      </c>
    </row>
    <row r="27" spans="2:5">
      <c r="B27" s="168" t="s">
        <v>57</v>
      </c>
      <c r="C27" s="91" t="str">
        <f>'6. GGbudgets'!E17</f>
        <v>Tenkinama</v>
      </c>
      <c r="D27" s="95" t="str">
        <f>'6. GGbudgets'!F17</f>
        <v>Tenkinama</v>
      </c>
    </row>
    <row r="28" spans="2:5" ht="15" thickBot="1">
      <c r="B28" s="169" t="s">
        <v>58</v>
      </c>
      <c r="C28" s="92" t="str">
        <f>'6. GGbudgets'!E18</f>
        <v>Valid</v>
      </c>
      <c r="D28" s="96" t="str">
        <f>'6. GGbudgets'!F18</f>
        <v>Valid</v>
      </c>
    </row>
    <row r="29" spans="2:5" ht="15.75" thickBot="1">
      <c r="B29" s="407" t="s">
        <v>59</v>
      </c>
      <c r="C29" s="408"/>
      <c r="D29" s="409"/>
    </row>
    <row r="30" spans="2:5" ht="38.25" customHeight="1">
      <c r="B30" s="439" t="s">
        <v>60</v>
      </c>
      <c r="C30" s="435" t="str">
        <f>'8. NET_EXP_EU'!C3</f>
        <v>Tenkinama</v>
      </c>
      <c r="D30" s="436"/>
    </row>
    <row r="31" spans="2:5" ht="26.45" customHeight="1" thickBot="1">
      <c r="B31" s="440"/>
      <c r="C31" s="437" t="str">
        <f>'8. NET_EXP_EU'!C4</f>
        <v>Valid</v>
      </c>
      <c r="D31" s="438"/>
    </row>
    <row r="32" spans="2:5" ht="15.75" thickTop="1" thickBot="1">
      <c r="B32" s="6" t="s">
        <v>61</v>
      </c>
      <c r="C32" s="6"/>
      <c r="D32" s="6"/>
      <c r="E32" s="37" t="s">
        <v>62</v>
      </c>
    </row>
    <row r="33" spans="2:5" ht="15.75" thickTop="1" thickBot="1">
      <c r="B33" s="7" t="s">
        <v>63</v>
      </c>
      <c r="C33" s="426" t="s">
        <v>37</v>
      </c>
      <c r="D33" s="427"/>
      <c r="E33" s="37" t="s">
        <v>64</v>
      </c>
    </row>
    <row r="34" spans="2:5" ht="15" thickBot="1">
      <c r="B34" s="333" t="s">
        <v>65</v>
      </c>
      <c r="C34" s="428" t="s">
        <v>38</v>
      </c>
      <c r="D34" s="429"/>
      <c r="E34" s="37" t="s">
        <v>66</v>
      </c>
    </row>
    <row r="35" spans="2:5" ht="15" thickTop="1"/>
  </sheetData>
  <mergeCells count="19">
    <mergeCell ref="B24:D24"/>
    <mergeCell ref="C33:D33"/>
    <mergeCell ref="C34:D34"/>
    <mergeCell ref="B14:B15"/>
    <mergeCell ref="B16:B17"/>
    <mergeCell ref="B20:B21"/>
    <mergeCell ref="B18:B19"/>
    <mergeCell ref="B29:D29"/>
    <mergeCell ref="C30:D30"/>
    <mergeCell ref="C31:D31"/>
    <mergeCell ref="B30:B31"/>
    <mergeCell ref="B13:D13"/>
    <mergeCell ref="B9:B10"/>
    <mergeCell ref="B3:D3"/>
    <mergeCell ref="B8:D8"/>
    <mergeCell ref="C4:D4"/>
    <mergeCell ref="B11:B12"/>
    <mergeCell ref="C6:D6"/>
    <mergeCell ref="C7:D7"/>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7"/>
  </sheetPr>
  <dimension ref="A1:Y61"/>
  <sheetViews>
    <sheetView showGridLines="0" zoomScale="70" zoomScaleNormal="70" workbookViewId="0">
      <pane ySplit="5" topLeftCell="A38" activePane="bottomLeft" state="frozen"/>
      <selection pane="bottomLeft" activeCell="L11" sqref="L11"/>
    </sheetView>
  </sheetViews>
  <sheetFormatPr defaultColWidth="10" defaultRowHeight="14.25"/>
  <cols>
    <col min="1" max="1" width="4.5703125" style="1" customWidth="1"/>
    <col min="2" max="2" width="51.28515625" style="1" customWidth="1"/>
    <col min="3" max="3" width="40.85546875" style="1" customWidth="1"/>
    <col min="4" max="4" width="21.140625" style="1" customWidth="1"/>
    <col min="5" max="7" width="11.42578125" style="1" customWidth="1"/>
    <col min="8" max="8" width="11.7109375" style="1" customWidth="1"/>
    <col min="9" max="11" width="11.42578125" style="1" customWidth="1"/>
    <col min="12" max="12" width="11.7109375" style="44" customWidth="1"/>
    <col min="13" max="13" width="11.42578125" style="44" customWidth="1"/>
    <col min="14" max="15" width="11.42578125" style="44" hidden="1" customWidth="1"/>
    <col min="16" max="17" width="0" style="1" hidden="1" customWidth="1"/>
    <col min="18" max="16384" width="10" style="1"/>
  </cols>
  <sheetData>
    <row r="1" spans="1:19">
      <c r="B1" s="69" t="s">
        <v>32</v>
      </c>
      <c r="C1" s="3"/>
      <c r="D1" s="3"/>
    </row>
    <row r="2" spans="1:19" ht="15" thickBot="1">
      <c r="A2" s="8" t="s">
        <v>33</v>
      </c>
      <c r="B2" s="9"/>
      <c r="C2" s="9"/>
    </row>
    <row r="3" spans="1:19" ht="40.15" customHeight="1" thickTop="1" thickBot="1">
      <c r="B3" s="452" t="s">
        <v>67</v>
      </c>
      <c r="C3" s="453"/>
      <c r="D3" s="453"/>
      <c r="E3" s="453"/>
      <c r="F3" s="453"/>
      <c r="G3" s="453"/>
      <c r="H3" s="453"/>
      <c r="I3" s="453"/>
      <c r="J3" s="453"/>
      <c r="K3" s="453"/>
      <c r="L3" s="453"/>
      <c r="M3" s="453"/>
      <c r="N3" s="453"/>
      <c r="O3" s="453"/>
      <c r="P3" s="453"/>
      <c r="Q3" s="454"/>
    </row>
    <row r="4" spans="1:19" ht="22.9" customHeight="1" thickBot="1">
      <c r="B4" s="449" t="s">
        <v>68</v>
      </c>
      <c r="C4" s="418" t="s">
        <v>69</v>
      </c>
      <c r="D4" s="450" t="s">
        <v>70</v>
      </c>
      <c r="E4" s="458"/>
      <c r="F4" s="459"/>
      <c r="G4" s="459"/>
      <c r="H4" s="459"/>
      <c r="I4" s="459"/>
      <c r="J4" s="459"/>
      <c r="K4" s="459"/>
      <c r="L4" s="459"/>
      <c r="M4" s="369"/>
      <c r="N4" s="455" t="s">
        <v>71</v>
      </c>
      <c r="O4" s="456"/>
      <c r="P4" s="456"/>
      <c r="Q4" s="457"/>
    </row>
    <row r="5" spans="1:19" ht="20.25" customHeight="1" thickBot="1">
      <c r="B5" s="449"/>
      <c r="C5" s="418"/>
      <c r="D5" s="450"/>
      <c r="E5" s="336">
        <f>2017</f>
        <v>2017</v>
      </c>
      <c r="F5" s="336">
        <f>E5+1</f>
        <v>2018</v>
      </c>
      <c r="G5" s="336">
        <f t="shared" ref="G5:M5" si="0">F5+1</f>
        <v>2019</v>
      </c>
      <c r="H5" s="336">
        <f t="shared" si="0"/>
        <v>2020</v>
      </c>
      <c r="I5" s="336">
        <f t="shared" si="0"/>
        <v>2021</v>
      </c>
      <c r="J5" s="336">
        <f t="shared" si="0"/>
        <v>2022</v>
      </c>
      <c r="K5" s="336">
        <f t="shared" si="0"/>
        <v>2023</v>
      </c>
      <c r="L5" s="336">
        <f t="shared" si="0"/>
        <v>2024</v>
      </c>
      <c r="M5" s="336">
        <f t="shared" si="0"/>
        <v>2025</v>
      </c>
      <c r="N5" s="336" t="str">
        <f>CONCATENATE(K5+3,"P")</f>
        <v>2026P</v>
      </c>
      <c r="O5" s="336" t="str">
        <f>CONCATENATE(K5+4,"P")</f>
        <v>2027P</v>
      </c>
      <c r="P5" s="336" t="str">
        <f>CONCATENATE(K5+5,"P")</f>
        <v>2028P</v>
      </c>
      <c r="Q5" s="339" t="str">
        <f>CONCATENATE(L5+5,"P")</f>
        <v>2029P</v>
      </c>
    </row>
    <row r="6" spans="1:19" ht="15" thickBot="1">
      <c r="B6" s="340" t="s">
        <v>72</v>
      </c>
      <c r="C6" s="72" t="s">
        <v>73</v>
      </c>
      <c r="D6" s="73"/>
      <c r="E6" s="337" t="s">
        <v>74</v>
      </c>
      <c r="F6" s="337" t="s">
        <v>75</v>
      </c>
      <c r="G6" s="337" t="s">
        <v>76</v>
      </c>
      <c r="H6" s="337" t="s">
        <v>77</v>
      </c>
      <c r="I6" s="337" t="s">
        <v>78</v>
      </c>
      <c r="J6" s="337" t="s">
        <v>79</v>
      </c>
      <c r="K6" s="337" t="s">
        <v>80</v>
      </c>
      <c r="L6" s="337" t="s">
        <v>81</v>
      </c>
      <c r="M6" s="337" t="s">
        <v>82</v>
      </c>
      <c r="N6" s="337" t="s">
        <v>83</v>
      </c>
      <c r="O6" s="337" t="s">
        <v>84</v>
      </c>
      <c r="P6" s="337" t="s">
        <v>85</v>
      </c>
      <c r="Q6" s="363" t="s">
        <v>86</v>
      </c>
    </row>
    <row r="7" spans="1:19" ht="15" thickBot="1">
      <c r="B7" s="446" t="s">
        <v>87</v>
      </c>
      <c r="C7" s="451" t="s">
        <v>88</v>
      </c>
      <c r="D7" s="338">
        <v>46084</v>
      </c>
      <c r="E7" s="170">
        <v>42274.6</v>
      </c>
      <c r="F7" s="170">
        <v>45947.4</v>
      </c>
      <c r="G7" s="170">
        <v>49239.199999999997</v>
      </c>
      <c r="H7" s="170">
        <v>50264.6</v>
      </c>
      <c r="I7" s="170">
        <v>56709.1</v>
      </c>
      <c r="J7" s="170">
        <v>67081.100000000006</v>
      </c>
      <c r="K7" s="170">
        <v>74317</v>
      </c>
      <c r="L7" s="170">
        <v>78996.2</v>
      </c>
      <c r="M7" s="170">
        <v>84061.2</v>
      </c>
      <c r="N7" s="343">
        <v>89629.09923367278</v>
      </c>
      <c r="O7" s="343">
        <v>94125.961780785641</v>
      </c>
      <c r="P7" s="343">
        <v>99276.268281618133</v>
      </c>
      <c r="Q7" s="344">
        <v>104507.81320753349</v>
      </c>
    </row>
    <row r="8" spans="1:19" ht="15" thickBot="1">
      <c r="B8" s="447"/>
      <c r="C8" s="451"/>
      <c r="D8" s="338">
        <v>46084</v>
      </c>
      <c r="E8" s="170">
        <f>E7</f>
        <v>42274.6</v>
      </c>
      <c r="F8" s="170">
        <f t="shared" ref="F8:M8" si="1">F7</f>
        <v>45947.4</v>
      </c>
      <c r="G8" s="170">
        <f t="shared" si="1"/>
        <v>49239.199999999997</v>
      </c>
      <c r="H8" s="170">
        <f t="shared" si="1"/>
        <v>50264.6</v>
      </c>
      <c r="I8" s="170">
        <f t="shared" si="1"/>
        <v>56709.1</v>
      </c>
      <c r="J8" s="170">
        <f t="shared" si="1"/>
        <v>67081.100000000006</v>
      </c>
      <c r="K8" s="170">
        <f t="shared" si="1"/>
        <v>74317</v>
      </c>
      <c r="L8" s="170">
        <f t="shared" si="1"/>
        <v>78996.2</v>
      </c>
      <c r="M8" s="170">
        <f t="shared" si="1"/>
        <v>84061.2</v>
      </c>
      <c r="N8" s="343">
        <f t="shared" ref="N8:O8" si="2">N7</f>
        <v>89629.09923367278</v>
      </c>
      <c r="O8" s="343">
        <f t="shared" si="2"/>
        <v>94125.961780785641</v>
      </c>
      <c r="P8" s="343">
        <f t="shared" ref="P8:Q8" si="3">P7</f>
        <v>99276.268281618133</v>
      </c>
      <c r="Q8" s="344">
        <f t="shared" si="3"/>
        <v>104507.81320753349</v>
      </c>
    </row>
    <row r="9" spans="1:19" ht="15" thickBot="1">
      <c r="B9" s="446" t="s">
        <v>89</v>
      </c>
      <c r="C9" s="441" t="s">
        <v>90</v>
      </c>
      <c r="D9" s="338">
        <f>$D$7</f>
        <v>46084</v>
      </c>
      <c r="E9" s="345"/>
      <c r="F9" s="345">
        <f>(F7/E7-1)*100</f>
        <v>8.6879592000870467</v>
      </c>
      <c r="G9" s="345">
        <f t="shared" ref="G9:J9" si="4">(G7/F7-1)*100</f>
        <v>7.1642791539891171</v>
      </c>
      <c r="H9" s="345">
        <f t="shared" si="4"/>
        <v>2.0824871240800125</v>
      </c>
      <c r="I9" s="345">
        <f t="shared" si="4"/>
        <v>12.821150471703735</v>
      </c>
      <c r="J9" s="345">
        <f t="shared" si="4"/>
        <v>18.289833554050428</v>
      </c>
      <c r="K9" s="345">
        <f>(K7/J7-1)*100</f>
        <v>10.786793895747081</v>
      </c>
      <c r="L9" s="359">
        <f>(L7/K7-1)*100</f>
        <v>6.2962713780157831</v>
      </c>
      <c r="M9" s="359">
        <f t="shared" ref="L9:N10" si="5">(M7/L7-1)*100</f>
        <v>6.411700815988608</v>
      </c>
      <c r="N9" s="343">
        <f t="shared" si="5"/>
        <v>6.6236256842309826</v>
      </c>
      <c r="O9" s="343">
        <f t="shared" ref="O9:Q10" si="6">(O7/N7-1)*100</f>
        <v>5.0171903829905107</v>
      </c>
      <c r="P9" s="343">
        <f t="shared" si="6"/>
        <v>5.4717172641776335</v>
      </c>
      <c r="Q9" s="344">
        <f t="shared" si="6"/>
        <v>5.2696832953823103</v>
      </c>
    </row>
    <row r="10" spans="1:19" ht="15" thickBot="1">
      <c r="B10" s="447"/>
      <c r="C10" s="441"/>
      <c r="D10" s="338">
        <f>$D$8</f>
        <v>46084</v>
      </c>
      <c r="E10" s="345"/>
      <c r="F10" s="345">
        <f>(F8/E8-1)*100</f>
        <v>8.6879592000870467</v>
      </c>
      <c r="G10" s="345">
        <f t="shared" ref="G10:K10" si="7">(G8/F8-1)*100</f>
        <v>7.1642791539891171</v>
      </c>
      <c r="H10" s="345">
        <f t="shared" si="7"/>
        <v>2.0824871240800125</v>
      </c>
      <c r="I10" s="345">
        <f t="shared" si="7"/>
        <v>12.821150471703735</v>
      </c>
      <c r="J10" s="345">
        <f t="shared" si="7"/>
        <v>18.289833554050428</v>
      </c>
      <c r="K10" s="345">
        <f t="shared" si="7"/>
        <v>10.786793895747081</v>
      </c>
      <c r="L10" s="359">
        <f t="shared" si="5"/>
        <v>6.2962713780157831</v>
      </c>
      <c r="M10" s="359">
        <f>(M8/L8-1)*100</f>
        <v>6.411700815988608</v>
      </c>
      <c r="N10" s="343">
        <f t="shared" si="5"/>
        <v>6.6236256842309826</v>
      </c>
      <c r="O10" s="343">
        <f t="shared" si="6"/>
        <v>5.0171903829905107</v>
      </c>
      <c r="P10" s="343">
        <f t="shared" si="6"/>
        <v>5.4717172641776335</v>
      </c>
      <c r="Q10" s="344">
        <f t="shared" si="6"/>
        <v>5.2696832953823103</v>
      </c>
    </row>
    <row r="11" spans="1:19" ht="15" thickBot="1">
      <c r="B11" s="446" t="s">
        <v>91</v>
      </c>
      <c r="C11" s="441" t="s">
        <v>92</v>
      </c>
      <c r="D11" s="338">
        <f>$D$7</f>
        <v>46084</v>
      </c>
      <c r="E11" s="170">
        <v>48511.199999999997</v>
      </c>
      <c r="F11" s="170">
        <v>50897.2</v>
      </c>
      <c r="G11" s="170">
        <v>53277.8</v>
      </c>
      <c r="H11" s="170">
        <v>53300.6</v>
      </c>
      <c r="I11" s="170">
        <v>56709.1</v>
      </c>
      <c r="J11" s="170">
        <v>58107.199999999997</v>
      </c>
      <c r="K11" s="170">
        <v>58536.9</v>
      </c>
      <c r="L11" s="170">
        <v>60310.7</v>
      </c>
      <c r="M11" s="170">
        <v>62034.400000000001</v>
      </c>
      <c r="N11" s="343">
        <v>63988.032598925362</v>
      </c>
      <c r="O11" s="343">
        <v>65482.2215595991</v>
      </c>
      <c r="P11" s="343">
        <v>67297.952795770572</v>
      </c>
      <c r="Q11" s="344">
        <v>69065.64787504109</v>
      </c>
    </row>
    <row r="12" spans="1:19" ht="15" thickBot="1">
      <c r="B12" s="447"/>
      <c r="C12" s="441"/>
      <c r="D12" s="338">
        <f>D10</f>
        <v>46084</v>
      </c>
      <c r="E12" s="170">
        <f>E11</f>
        <v>48511.199999999997</v>
      </c>
      <c r="F12" s="170">
        <f t="shared" ref="F12:M12" si="8">F11</f>
        <v>50897.2</v>
      </c>
      <c r="G12" s="170">
        <f t="shared" si="8"/>
        <v>53277.8</v>
      </c>
      <c r="H12" s="170">
        <f t="shared" si="8"/>
        <v>53300.6</v>
      </c>
      <c r="I12" s="170">
        <f t="shared" si="8"/>
        <v>56709.1</v>
      </c>
      <c r="J12" s="170">
        <f t="shared" si="8"/>
        <v>58107.199999999997</v>
      </c>
      <c r="K12" s="170">
        <f t="shared" si="8"/>
        <v>58536.9</v>
      </c>
      <c r="L12" s="170">
        <f t="shared" si="8"/>
        <v>60310.7</v>
      </c>
      <c r="M12" s="170">
        <f t="shared" si="8"/>
        <v>62034.400000000001</v>
      </c>
      <c r="N12" s="343">
        <f t="shared" ref="N12:O12" si="9">N11</f>
        <v>63988.032598925362</v>
      </c>
      <c r="O12" s="343">
        <f t="shared" si="9"/>
        <v>65482.2215595991</v>
      </c>
      <c r="P12" s="343">
        <f t="shared" ref="P12:Q12" si="10">P11</f>
        <v>67297.952795770572</v>
      </c>
      <c r="Q12" s="344">
        <f t="shared" si="10"/>
        <v>69065.64787504109</v>
      </c>
      <c r="S12" s="47"/>
    </row>
    <row r="13" spans="1:19" ht="15" thickBot="1">
      <c r="B13" s="446" t="s">
        <v>93</v>
      </c>
      <c r="C13" s="441" t="s">
        <v>94</v>
      </c>
      <c r="D13" s="338">
        <f>$D$7</f>
        <v>46084</v>
      </c>
      <c r="E13" s="345"/>
      <c r="F13" s="345">
        <f>(F11/E11-1)*100</f>
        <v>4.9184518214350437</v>
      </c>
      <c r="G13" s="345">
        <f t="shared" ref="G13:J13" si="11">(G11/F11-1)*100</f>
        <v>4.6772710483091506</v>
      </c>
      <c r="H13" s="345">
        <f t="shared" si="11"/>
        <v>4.2794559835424018E-2</v>
      </c>
      <c r="I13" s="345">
        <f t="shared" si="11"/>
        <v>6.3948623467653176</v>
      </c>
      <c r="J13" s="345">
        <f t="shared" si="11"/>
        <v>2.4653891527109284</v>
      </c>
      <c r="K13" s="345">
        <f>(K11/J11-1)*100</f>
        <v>0.73949527769365808</v>
      </c>
      <c r="L13" s="359">
        <f t="shared" ref="L13:N13" si="12">(L11/K11-1)*100</f>
        <v>3.0302253792052536</v>
      </c>
      <c r="M13" s="359">
        <f t="shared" si="12"/>
        <v>2.8580334832790877</v>
      </c>
      <c r="N13" s="343">
        <f t="shared" si="12"/>
        <v>3.1492729822894416</v>
      </c>
      <c r="O13" s="343">
        <f>(O11/N11-1)*100</f>
        <v>2.3351068941895203</v>
      </c>
      <c r="P13" s="343">
        <f>(P11/O11-1)*100</f>
        <v>2.7728613857715079</v>
      </c>
      <c r="Q13" s="344">
        <f>(Q11/P11-1)*100</f>
        <v>2.6266699146628492</v>
      </c>
    </row>
    <row r="14" spans="1:19" ht="15" thickBot="1">
      <c r="B14" s="447"/>
      <c r="C14" s="441"/>
      <c r="D14" s="338">
        <f>$D$12</f>
        <v>46084</v>
      </c>
      <c r="E14" s="345"/>
      <c r="F14" s="345">
        <f>(F12/E12-1)*100</f>
        <v>4.9184518214350437</v>
      </c>
      <c r="G14" s="345">
        <f t="shared" ref="G14:H14" si="13">(G12/F12-1)*100</f>
        <v>4.6772710483091506</v>
      </c>
      <c r="H14" s="345">
        <f t="shared" si="13"/>
        <v>4.2794559835424018E-2</v>
      </c>
      <c r="I14" s="346">
        <f>(I12/H12-1)*100</f>
        <v>6.3948623467653176</v>
      </c>
      <c r="J14" s="346">
        <f>(J12-I12)/I12*100</f>
        <v>2.4653891527109382</v>
      </c>
      <c r="K14" s="346">
        <f>(K12-J12)/J12*100</f>
        <v>0.73949527769364964</v>
      </c>
      <c r="L14" s="359">
        <f t="shared" ref="L14:N14" si="14">(L12-K12)/K12*100</f>
        <v>3.030225379205246</v>
      </c>
      <c r="M14" s="359">
        <f t="shared" si="14"/>
        <v>2.8580334832790939</v>
      </c>
      <c r="N14" s="343">
        <f t="shared" si="14"/>
        <v>3.1492729822894394</v>
      </c>
      <c r="O14" s="343">
        <f>(O12-N12)/N12*100</f>
        <v>2.3351068941895123</v>
      </c>
      <c r="P14" s="343">
        <f>(P12-O12)/O12*100</f>
        <v>2.7728613857715132</v>
      </c>
      <c r="Q14" s="344">
        <f>(Q12-P12)/P12*100</f>
        <v>2.626669914662858</v>
      </c>
    </row>
    <row r="15" spans="1:19" ht="15" thickBot="1">
      <c r="B15" s="446" t="s">
        <v>95</v>
      </c>
      <c r="C15" s="441" t="s">
        <v>96</v>
      </c>
      <c r="D15" s="338">
        <v>46148</v>
      </c>
      <c r="E15" s="347">
        <v>47816.968919322258</v>
      </c>
      <c r="F15" s="347">
        <v>49373.126580359385</v>
      </c>
      <c r="G15" s="347">
        <v>51046.783846989005</v>
      </c>
      <c r="H15" s="347">
        <v>52698.511763299204</v>
      </c>
      <c r="I15" s="347">
        <v>54570.259755428371</v>
      </c>
      <c r="J15" s="347">
        <v>56414.710718287235</v>
      </c>
      <c r="K15" s="347">
        <v>58285.118502478654</v>
      </c>
      <c r="L15" s="347">
        <v>60183.452003182654</v>
      </c>
      <c r="M15" s="347">
        <v>62088.843481521639</v>
      </c>
      <c r="N15" s="347">
        <v>63979.831173348051</v>
      </c>
      <c r="O15" s="347">
        <v>65838.759446410026</v>
      </c>
      <c r="P15" s="347">
        <v>67650.623831518751</v>
      </c>
      <c r="Q15" s="348">
        <v>69398.993183839077</v>
      </c>
    </row>
    <row r="16" spans="1:19" ht="15" thickBot="1">
      <c r="B16" s="447"/>
      <c r="C16" s="441"/>
      <c r="D16" s="338">
        <v>46148</v>
      </c>
      <c r="E16" s="343">
        <v>47252.648110885981</v>
      </c>
      <c r="F16" s="343">
        <v>48955.759576137949</v>
      </c>
      <c r="G16" s="343">
        <v>51133.485592727047</v>
      </c>
      <c r="H16" s="343">
        <v>53227.064330993577</v>
      </c>
      <c r="I16" s="343">
        <v>55440.96180181489</v>
      </c>
      <c r="J16" s="343">
        <v>57502.167752525791</v>
      </c>
      <c r="K16" s="343">
        <v>59536.938512250621</v>
      </c>
      <c r="L16" s="343">
        <v>61192.279702758868</v>
      </c>
      <c r="M16" s="343">
        <v>62674.723379821815</v>
      </c>
      <c r="N16" s="343">
        <v>64242.431008676394</v>
      </c>
      <c r="O16" s="343">
        <v>65798.102597435267</v>
      </c>
      <c r="P16" s="343">
        <v>67454.239041971654</v>
      </c>
      <c r="Q16" s="344">
        <v>69183.766555214985</v>
      </c>
      <c r="R16" s="47"/>
    </row>
    <row r="17" spans="2:25" ht="15" thickBot="1">
      <c r="B17" s="446" t="s">
        <v>97</v>
      </c>
      <c r="C17" s="441" t="s">
        <v>98</v>
      </c>
      <c r="D17" s="338">
        <f>D15</f>
        <v>46148</v>
      </c>
      <c r="E17" s="347"/>
      <c r="F17" s="347">
        <f>(F15/E15-1)*100</f>
        <v>3.2544046521700398</v>
      </c>
      <c r="G17" s="347">
        <f>(G15/F15-1)*100</f>
        <v>3.3898142219241256</v>
      </c>
      <c r="H17" s="347">
        <f t="shared" ref="H17:I18" si="15">(H15/G15-1)*100</f>
        <v>3.2357139702693161</v>
      </c>
      <c r="I17" s="347">
        <f t="shared" si="15"/>
        <v>3.5518042720756871</v>
      </c>
      <c r="J17" s="347">
        <f>(J15/I15-1)*100</f>
        <v>3.3799563555777068</v>
      </c>
      <c r="K17" s="347">
        <f>(K15/J15-1)*100</f>
        <v>3.3154610922875971</v>
      </c>
      <c r="L17" s="347">
        <f t="shared" ref="L17:N17" si="16">(L15/K15-1)*100</f>
        <v>3.256978023684165</v>
      </c>
      <c r="M17" s="347">
        <f>(M15/L15-1)*100</f>
        <v>3.1659723975923093</v>
      </c>
      <c r="N17" s="347">
        <f t="shared" si="16"/>
        <v>3.0456159042311581</v>
      </c>
      <c r="O17" s="347">
        <f t="shared" ref="O17:Q18" si="17">(O15/N15-1)*100</f>
        <v>2.9054910570572856</v>
      </c>
      <c r="P17" s="347">
        <f t="shared" si="17"/>
        <v>2.751972243012113</v>
      </c>
      <c r="Q17" s="348">
        <f t="shared" si="17"/>
        <v>2.5844098003805049</v>
      </c>
    </row>
    <row r="18" spans="2:25" ht="15" thickBot="1">
      <c r="B18" s="447"/>
      <c r="C18" s="441"/>
      <c r="D18" s="338">
        <f>$D$16</f>
        <v>46148</v>
      </c>
      <c r="E18" s="343"/>
      <c r="F18" s="343">
        <f>(F16/E16-1)*100</f>
        <v>3.6042667095722125</v>
      </c>
      <c r="G18" s="343">
        <f>(G16/F16-1)*100</f>
        <v>4.448355077000099</v>
      </c>
      <c r="H18" s="343">
        <f t="shared" si="15"/>
        <v>4.0943399691968363</v>
      </c>
      <c r="I18" s="343">
        <f t="shared" si="15"/>
        <v>4.1593454357244708</v>
      </c>
      <c r="J18" s="343">
        <f>(J16/I16-1)*100</f>
        <v>3.7178394524956193</v>
      </c>
      <c r="K18" s="343">
        <f>(K16/J16-1)*100</f>
        <v>3.5385983507299157</v>
      </c>
      <c r="L18" s="343">
        <f t="shared" ref="L18:N18" si="18">(L16/K16-1)*100</f>
        <v>2.7803599443858351</v>
      </c>
      <c r="M18" s="343">
        <f>(M16/L16-1)*100</f>
        <v>2.4225991975848959</v>
      </c>
      <c r="N18" s="343">
        <f t="shared" si="18"/>
        <v>2.5013395262296623</v>
      </c>
      <c r="O18" s="343">
        <f t="shared" si="17"/>
        <v>2.4215640104727099</v>
      </c>
      <c r="P18" s="343">
        <f t="shared" si="17"/>
        <v>2.5169972676399643</v>
      </c>
      <c r="Q18" s="344">
        <f t="shared" si="17"/>
        <v>2.5640012218760333</v>
      </c>
    </row>
    <row r="19" spans="2:25" ht="15" thickBot="1">
      <c r="B19" s="446" t="s">
        <v>99</v>
      </c>
      <c r="C19" s="441" t="s">
        <v>100</v>
      </c>
      <c r="D19" s="338">
        <f>D15</f>
        <v>46148</v>
      </c>
      <c r="E19" s="347">
        <f t="shared" ref="E19:K19" si="19">(E12/E15-1)*100</f>
        <v>1.4518508729590485</v>
      </c>
      <c r="F19" s="347">
        <f t="shared" si="19"/>
        <v>3.086848099765449</v>
      </c>
      <c r="G19" s="347">
        <f t="shared" si="19"/>
        <v>4.3705322546830683</v>
      </c>
      <c r="H19" s="347">
        <f t="shared" si="19"/>
        <v>1.1425146869519454</v>
      </c>
      <c r="I19" s="347">
        <f t="shared" si="19"/>
        <v>3.9194247089118228</v>
      </c>
      <c r="J19" s="347">
        <f t="shared" si="19"/>
        <v>3.0000850135780688</v>
      </c>
      <c r="K19" s="347">
        <f t="shared" si="19"/>
        <v>0.43198247509892429</v>
      </c>
      <c r="L19" s="347">
        <f>(L12/L15-1)*100</f>
        <v>0.21143352961976447</v>
      </c>
      <c r="M19" s="347">
        <f>(M12/M15-1)*100</f>
        <v>-8.7686415898280412E-2</v>
      </c>
      <c r="N19" s="347">
        <f t="shared" ref="N19:O19" si="20">(N12/N15-1)*100</f>
        <v>1.2818767144118226E-2</v>
      </c>
      <c r="O19" s="347">
        <f t="shared" si="20"/>
        <v>-0.54153190280131769</v>
      </c>
      <c r="P19" s="347">
        <f t="shared" ref="P19:Q19" si="21">(P12/P15-1)*100</f>
        <v>-0.52131231875479633</v>
      </c>
      <c r="Q19" s="348">
        <f t="shared" si="21"/>
        <v>-0.48033162082762315</v>
      </c>
    </row>
    <row r="20" spans="2:25" ht="15" thickBot="1">
      <c r="B20" s="447"/>
      <c r="C20" s="441"/>
      <c r="D20" s="338">
        <f>$D$16</f>
        <v>46148</v>
      </c>
      <c r="E20" s="343">
        <f t="shared" ref="E20:I20" si="22">(E$12/E16-1)*100</f>
        <v>2.6634526093873623</v>
      </c>
      <c r="F20" s="343">
        <f t="shared" si="22"/>
        <v>3.9657038123219079</v>
      </c>
      <c r="G20" s="343">
        <f t="shared" si="22"/>
        <v>4.1935619729744245</v>
      </c>
      <c r="H20" s="343">
        <f t="shared" si="22"/>
        <v>0.13815465859461362</v>
      </c>
      <c r="I20" s="343">
        <f t="shared" si="22"/>
        <v>2.2873668799584079</v>
      </c>
      <c r="J20" s="343">
        <f>(J$12/J16-1)*100</f>
        <v>1.0521903279857359</v>
      </c>
      <c r="K20" s="343">
        <f>(K$12/K16-1)*100</f>
        <v>-1.6796942154572614</v>
      </c>
      <c r="L20" s="343">
        <f>(L$12/L16-1)*100</f>
        <v>-1.4406714491454475</v>
      </c>
      <c r="M20" s="343">
        <f>(M$12/M16-1)*100</f>
        <v>-1.0216612779306966</v>
      </c>
      <c r="N20" s="343">
        <f t="shared" ref="N20" si="23">(N$12/N16-1)*100</f>
        <v>-0.39599748290451986</v>
      </c>
      <c r="O20" s="343">
        <f>(O$12/O16-1)*100</f>
        <v>-0.48007621096429753</v>
      </c>
      <c r="P20" s="343">
        <f>(P$12/P16-1)*100</f>
        <v>-0.23169225303073526</v>
      </c>
      <c r="Q20" s="344">
        <f>(Q$12/Q16-1)*100</f>
        <v>-0.17073178587295734</v>
      </c>
    </row>
    <row r="21" spans="2:25" ht="17.45" customHeight="1" thickBot="1">
      <c r="B21" s="444" t="s">
        <v>101</v>
      </c>
      <c r="C21" s="441" t="s">
        <v>102</v>
      </c>
      <c r="D21" s="338">
        <f>$D$15</f>
        <v>46148</v>
      </c>
      <c r="E21" s="347">
        <f t="shared" ref="E21:O21" si="24">E19*E37</f>
        <v>0.57928849831066032</v>
      </c>
      <c r="F21" s="347">
        <f>F19*F37</f>
        <v>1.2316523918064142</v>
      </c>
      <c r="G21" s="347">
        <f t="shared" si="24"/>
        <v>1.7438423696185443</v>
      </c>
      <c r="H21" s="347">
        <f t="shared" si="24"/>
        <v>0.45586336009382622</v>
      </c>
      <c r="I21" s="347">
        <f t="shared" si="24"/>
        <v>1.5638504588558173</v>
      </c>
      <c r="J21" s="347">
        <f t="shared" si="24"/>
        <v>1.1970339204176494</v>
      </c>
      <c r="K21" s="347">
        <f t="shared" si="24"/>
        <v>0.17236100756447081</v>
      </c>
      <c r="L21" s="347">
        <f>L19*L37</f>
        <v>8.4361978318286027E-2</v>
      </c>
      <c r="M21" s="347">
        <f>M19*M37</f>
        <v>-3.4986879943413887E-2</v>
      </c>
      <c r="N21" s="347">
        <f t="shared" si="24"/>
        <v>5.1146880905031727E-3</v>
      </c>
      <c r="O21" s="347">
        <f t="shared" si="24"/>
        <v>-0.21607122921772576</v>
      </c>
      <c r="P21" s="347">
        <f t="shared" ref="P21:Q21" si="25">P19*P37</f>
        <v>-0.20800361518316374</v>
      </c>
      <c r="Q21" s="348">
        <f t="shared" si="25"/>
        <v>-0.19165231671022165</v>
      </c>
    </row>
    <row r="22" spans="2:25" ht="15" thickBot="1">
      <c r="B22" s="445"/>
      <c r="C22" s="441"/>
      <c r="D22" s="338">
        <f>$D$16</f>
        <v>46148</v>
      </c>
      <c r="E22" s="343">
        <f t="shared" ref="E22:O22" si="26">E20*E37</f>
        <v>1.0627175911455575</v>
      </c>
      <c r="F22" s="343">
        <f t="shared" si="26"/>
        <v>1.5823158211164414</v>
      </c>
      <c r="G22" s="343">
        <f>G20*G37</f>
        <v>1.6732312272167955</v>
      </c>
      <c r="H22" s="343">
        <f t="shared" si="26"/>
        <v>5.5123708779250838E-2</v>
      </c>
      <c r="I22" s="343">
        <f t="shared" si="26"/>
        <v>0.91265938510340483</v>
      </c>
      <c r="J22" s="343">
        <f t="shared" si="26"/>
        <v>0.41982394086630864</v>
      </c>
      <c r="K22" s="343">
        <f>K20*K37</f>
        <v>-0.67019799196744734</v>
      </c>
      <c r="L22" s="343">
        <f>L20*L37</f>
        <v>-0.57482790820903362</v>
      </c>
      <c r="M22" s="343">
        <f t="shared" si="26"/>
        <v>-0.40764284989434796</v>
      </c>
      <c r="N22" s="343">
        <f t="shared" si="26"/>
        <v>-0.15800299567890344</v>
      </c>
      <c r="O22" s="343">
        <f t="shared" si="26"/>
        <v>-0.19155040817475472</v>
      </c>
      <c r="P22" s="343">
        <f t="shared" ref="P22:Q22" si="27">P20*P37</f>
        <v>-9.2445208959263378E-2</v>
      </c>
      <c r="Q22" s="344">
        <f t="shared" si="27"/>
        <v>-6.812198256330998E-2</v>
      </c>
    </row>
    <row r="23" spans="2:25" ht="17.45" customHeight="1" thickBot="1">
      <c r="B23" s="444" t="s">
        <v>103</v>
      </c>
      <c r="C23" s="441" t="s">
        <v>104</v>
      </c>
      <c r="D23" s="338">
        <f>$D$15</f>
        <v>46148</v>
      </c>
      <c r="E23" s="171"/>
      <c r="F23" s="171"/>
      <c r="G23" s="171"/>
      <c r="H23" s="171"/>
      <c r="I23" s="347">
        <f>I19*I38</f>
        <v>0.3958618956000941</v>
      </c>
      <c r="J23" s="347">
        <f t="shared" ref="J23:K23" si="28">J19*J38</f>
        <v>0.26400748119487005</v>
      </c>
      <c r="K23" s="347">
        <f t="shared" si="28"/>
        <v>3.9742387709101032E-2</v>
      </c>
      <c r="L23" s="347">
        <f>L19*L38</f>
        <v>1.9262336014954272E-2</v>
      </c>
      <c r="M23" s="347">
        <f>M19*M38</f>
        <v>-7.9640786169571445E-3</v>
      </c>
      <c r="N23" s="393"/>
      <c r="O23" s="393"/>
      <c r="P23" s="393"/>
      <c r="Q23" s="394"/>
    </row>
    <row r="24" spans="2:25" ht="15" thickBot="1">
      <c r="B24" s="444"/>
      <c r="C24" s="441"/>
      <c r="D24" s="338">
        <f>$D$16</f>
        <v>46148</v>
      </c>
      <c r="E24" s="171"/>
      <c r="F24" s="171"/>
      <c r="G24" s="171"/>
      <c r="H24" s="171"/>
      <c r="I24" s="343">
        <f>I20*I38</f>
        <v>0.23102405487579922</v>
      </c>
      <c r="J24" s="343">
        <f t="shared" ref="J24:M24" si="29">J20*J38</f>
        <v>9.2592748862744753E-2</v>
      </c>
      <c r="K24" s="343">
        <f t="shared" si="29"/>
        <v>-0.15453186782206804</v>
      </c>
      <c r="L24" s="343">
        <f t="shared" si="29"/>
        <v>-0.13125022124209304</v>
      </c>
      <c r="M24" s="343">
        <f t="shared" si="29"/>
        <v>-9.2791918269070628E-2</v>
      </c>
      <c r="N24" s="393"/>
      <c r="O24" s="393"/>
      <c r="P24" s="393"/>
      <c r="Q24" s="394"/>
    </row>
    <row r="25" spans="2:25" s="10" customFormat="1" ht="15.75" customHeight="1" thickBot="1">
      <c r="B25" s="444" t="s">
        <v>105</v>
      </c>
      <c r="C25" s="441" t="s">
        <v>106</v>
      </c>
      <c r="D25" s="338">
        <f>$D$15</f>
        <v>46148</v>
      </c>
      <c r="E25" s="171"/>
      <c r="F25" s="171"/>
      <c r="G25" s="171"/>
      <c r="H25" s="171"/>
      <c r="I25" s="347">
        <f>I19*I39</f>
        <v>0.17637411190103203</v>
      </c>
      <c r="J25" s="347">
        <f t="shared" ref="J25:L25" si="30">J19*J39</f>
        <v>0.12600357057027889</v>
      </c>
      <c r="K25" s="347">
        <f t="shared" si="30"/>
        <v>1.9871193854550516E-2</v>
      </c>
      <c r="L25" s="347">
        <f t="shared" si="30"/>
        <v>1.0098335737130086E-2</v>
      </c>
      <c r="M25" s="347">
        <f>M19*M39</f>
        <v>-4.1723554868074372E-3</v>
      </c>
      <c r="N25" s="393"/>
      <c r="O25" s="393"/>
      <c r="P25" s="393"/>
      <c r="Q25" s="394"/>
    </row>
    <row r="26" spans="2:25" s="10" customFormat="1" ht="15" thickBot="1">
      <c r="B26" s="444"/>
      <c r="C26" s="441"/>
      <c r="D26" s="338">
        <f>$D$16</f>
        <v>46148</v>
      </c>
      <c r="E26" s="171"/>
      <c r="F26" s="171"/>
      <c r="G26" s="171"/>
      <c r="H26" s="171"/>
      <c r="I26" s="343">
        <f>I20*I39</f>
        <v>0.10293150959812836</v>
      </c>
      <c r="J26" s="343">
        <f t="shared" ref="J26:M26" si="31">J20*J39</f>
        <v>4.4191993775400909E-2</v>
      </c>
      <c r="K26" s="343">
        <f t="shared" si="31"/>
        <v>-7.7265933911034021E-2</v>
      </c>
      <c r="L26" s="343">
        <f t="shared" si="31"/>
        <v>-6.8808310614365778E-2</v>
      </c>
      <c r="M26" s="343">
        <f t="shared" si="31"/>
        <v>-4.8613391195938202E-2</v>
      </c>
      <c r="N26" s="393"/>
      <c r="O26" s="393"/>
      <c r="P26" s="393"/>
      <c r="Q26" s="394"/>
    </row>
    <row r="27" spans="2:25" ht="15" thickBot="1">
      <c r="B27" s="446" t="s">
        <v>107</v>
      </c>
      <c r="C27" s="441" t="s">
        <v>108</v>
      </c>
      <c r="D27" s="338">
        <f>$D$7</f>
        <v>46084</v>
      </c>
      <c r="E27" s="171">
        <f>E7/E11*100</f>
        <v>87.143999736143414</v>
      </c>
      <c r="F27" s="171">
        <f t="shared" ref="F27:J28" si="32">F7/F11*100</f>
        <v>90.274907067579363</v>
      </c>
      <c r="G27" s="171">
        <f t="shared" si="32"/>
        <v>92.419732045992873</v>
      </c>
      <c r="H27" s="171">
        <f t="shared" si="32"/>
        <v>94.304004082505628</v>
      </c>
      <c r="I27" s="171">
        <f>I7/I11*100</f>
        <v>100</v>
      </c>
      <c r="J27" s="171">
        <f t="shared" si="32"/>
        <v>115.4436971666162</v>
      </c>
      <c r="K27" s="171">
        <f>K7/K11*100</f>
        <v>126.95752593663141</v>
      </c>
      <c r="L27" s="171">
        <f t="shared" ref="L27:O27" si="33">L7/L11*100</f>
        <v>130.98206454244439</v>
      </c>
      <c r="M27" s="171">
        <f>M7/M11*100</f>
        <v>135.50739589647034</v>
      </c>
      <c r="N27" s="171">
        <f t="shared" si="33"/>
        <v>140.07165964214695</v>
      </c>
      <c r="O27" s="171">
        <f t="shared" si="33"/>
        <v>143.74277405221545</v>
      </c>
      <c r="P27" s="171">
        <f t="shared" ref="P27:Q27" si="34">P7/P11*100</f>
        <v>147.51751599768912</v>
      </c>
      <c r="Q27" s="172">
        <f t="shared" si="34"/>
        <v>151.3166334103129</v>
      </c>
    </row>
    <row r="28" spans="2:25" ht="15" thickBot="1">
      <c r="B28" s="447"/>
      <c r="C28" s="441"/>
      <c r="D28" s="338">
        <f>$D$8</f>
        <v>46084</v>
      </c>
      <c r="E28" s="171">
        <f>E8/E12*100</f>
        <v>87.143999736143414</v>
      </c>
      <c r="F28" s="171">
        <f t="shared" si="32"/>
        <v>90.274907067579363</v>
      </c>
      <c r="G28" s="171">
        <f t="shared" si="32"/>
        <v>92.419732045992873</v>
      </c>
      <c r="H28" s="171">
        <f t="shared" si="32"/>
        <v>94.304004082505628</v>
      </c>
      <c r="I28" s="171">
        <f t="shared" si="32"/>
        <v>100</v>
      </c>
      <c r="J28" s="171">
        <f t="shared" si="32"/>
        <v>115.4436971666162</v>
      </c>
      <c r="K28" s="171">
        <f>K8/K12*100</f>
        <v>126.95752593663141</v>
      </c>
      <c r="L28" s="171">
        <f t="shared" ref="L28:O28" si="35">L8/L12*100</f>
        <v>130.98206454244439</v>
      </c>
      <c r="M28" s="171">
        <f t="shared" si="35"/>
        <v>135.50739589647034</v>
      </c>
      <c r="N28" s="171">
        <f t="shared" si="35"/>
        <v>140.07165964214695</v>
      </c>
      <c r="O28" s="171">
        <f t="shared" si="35"/>
        <v>143.74277405221545</v>
      </c>
      <c r="P28" s="171">
        <f t="shared" ref="P28:Q28" si="36">P8/P12*100</f>
        <v>147.51751599768912</v>
      </c>
      <c r="Q28" s="172">
        <f t="shared" si="36"/>
        <v>151.3166334103129</v>
      </c>
    </row>
    <row r="29" spans="2:25" ht="15" thickBot="1">
      <c r="B29" s="446" t="s">
        <v>109</v>
      </c>
      <c r="C29" s="441" t="s">
        <v>110</v>
      </c>
      <c r="D29" s="338">
        <f>$D$7</f>
        <v>46084</v>
      </c>
      <c r="E29" s="171"/>
      <c r="F29" s="171">
        <f>(F27/E27-1)*100</f>
        <v>3.5927973709214411</v>
      </c>
      <c r="G29" s="171">
        <f t="shared" ref="G29:J30" si="37">(G27/F27-1)*100</f>
        <v>2.3758816797317728</v>
      </c>
      <c r="H29" s="171">
        <f t="shared" si="37"/>
        <v>2.0388200601739959</v>
      </c>
      <c r="I29" s="171">
        <f t="shared" si="37"/>
        <v>6.0400361288063698</v>
      </c>
      <c r="J29" s="171">
        <f t="shared" si="37"/>
        <v>15.4436971666162</v>
      </c>
      <c r="K29" s="171">
        <f>(K27/J27-1)*100</f>
        <v>9.9735447257875531</v>
      </c>
      <c r="L29" s="171">
        <f t="shared" ref="L29:N29" si="38">(L27/K27-1)*100</f>
        <v>3.1699882115076461</v>
      </c>
      <c r="M29" s="171">
        <f>(M27/L27-1)*100</f>
        <v>3.4549244355203568</v>
      </c>
      <c r="N29" s="171">
        <f t="shared" si="38"/>
        <v>3.368276480764032</v>
      </c>
      <c r="O29" s="171">
        <f t="shared" ref="O29:Q30" si="39">(O27/N27-1)*100</f>
        <v>2.620883067600821</v>
      </c>
      <c r="P29" s="171">
        <f t="shared" si="39"/>
        <v>2.6260394446697255</v>
      </c>
      <c r="Q29" s="172">
        <f t="shared" si="39"/>
        <v>2.5753669907804699</v>
      </c>
    </row>
    <row r="30" spans="2:25" ht="15" thickBot="1">
      <c r="B30" s="447"/>
      <c r="C30" s="441"/>
      <c r="D30" s="338">
        <f>$D$8</f>
        <v>46084</v>
      </c>
      <c r="E30" s="171"/>
      <c r="F30" s="171">
        <f>(F28/E28-1)*100</f>
        <v>3.5927973709214411</v>
      </c>
      <c r="G30" s="171">
        <f t="shared" ref="G30:H30" si="40">(G28/F28-1)*100</f>
        <v>2.3758816797317728</v>
      </c>
      <c r="H30" s="171">
        <f t="shared" si="40"/>
        <v>2.0388200601739959</v>
      </c>
      <c r="I30" s="171">
        <f t="shared" si="37"/>
        <v>6.0400361288063698</v>
      </c>
      <c r="J30" s="171">
        <f>(J28/I28-1)*100</f>
        <v>15.4436971666162</v>
      </c>
      <c r="K30" s="171">
        <f>(K28/J28-1)*100</f>
        <v>9.9735447257875531</v>
      </c>
      <c r="L30" s="171">
        <f t="shared" ref="L30:N30" si="41">(L28/K28-1)*100</f>
        <v>3.1699882115076461</v>
      </c>
      <c r="M30" s="171">
        <f t="shared" si="41"/>
        <v>3.4549244355203568</v>
      </c>
      <c r="N30" s="171">
        <f t="shared" si="41"/>
        <v>3.368276480764032</v>
      </c>
      <c r="O30" s="171">
        <f t="shared" si="39"/>
        <v>2.620883067600821</v>
      </c>
      <c r="P30" s="171">
        <f t="shared" si="39"/>
        <v>2.6260394446697255</v>
      </c>
      <c r="Q30" s="172">
        <f t="shared" si="39"/>
        <v>2.5753669907804699</v>
      </c>
    </row>
    <row r="31" spans="2:25" ht="29.25" thickBot="1">
      <c r="B31" s="79" t="s">
        <v>111</v>
      </c>
      <c r="C31" s="331" t="s">
        <v>112</v>
      </c>
      <c r="D31" s="338">
        <f>D21</f>
        <v>46148</v>
      </c>
      <c r="E31" s="170">
        <v>13169.3709</v>
      </c>
      <c r="F31" s="170">
        <v>13628.646500000001</v>
      </c>
      <c r="G31" s="170">
        <v>14122.7724</v>
      </c>
      <c r="H31" s="170">
        <v>13578.8153</v>
      </c>
      <c r="I31" s="170">
        <v>14792.2796</v>
      </c>
      <c r="J31" s="170">
        <v>16170.154</v>
      </c>
      <c r="K31" s="170">
        <v>17256.923300000002</v>
      </c>
      <c r="L31" s="358">
        <v>18022.2438</v>
      </c>
      <c r="M31" s="358">
        <v>18810.682199999999</v>
      </c>
      <c r="N31" s="349"/>
      <c r="O31" s="349"/>
      <c r="P31" s="349"/>
      <c r="Q31" s="350"/>
      <c r="S31" s="217"/>
      <c r="T31" s="218"/>
      <c r="U31" s="217"/>
      <c r="V31" s="217"/>
      <c r="W31" s="217"/>
      <c r="X31" s="217"/>
      <c r="Y31" s="217"/>
    </row>
    <row r="32" spans="2:25" ht="29.25" customHeight="1" thickBot="1">
      <c r="B32" s="79" t="s">
        <v>113</v>
      </c>
      <c r="C32" s="331" t="s">
        <v>114</v>
      </c>
      <c r="D32" s="338">
        <f>$D$31</f>
        <v>46148</v>
      </c>
      <c r="E32" s="345"/>
      <c r="F32" s="345">
        <f>(F31/E31-1)*100</f>
        <v>3.4874528440838493</v>
      </c>
      <c r="G32" s="345">
        <f t="shared" ref="G32:H32" si="42">(G31/F31-1)*100</f>
        <v>3.6256417686084896</v>
      </c>
      <c r="H32" s="345">
        <f t="shared" si="42"/>
        <v>-3.8516311429050543</v>
      </c>
      <c r="I32" s="345">
        <f>(I31/H31-1)*100</f>
        <v>8.9364519156542208</v>
      </c>
      <c r="J32" s="345">
        <f>(J31/I31-1)*100</f>
        <v>9.3148212260671492</v>
      </c>
      <c r="K32" s="345">
        <f>(K31/J31-1)*100</f>
        <v>6.720834569664591</v>
      </c>
      <c r="L32" s="345">
        <f>(L31/K31-1)*100</f>
        <v>4.4348606451765304</v>
      </c>
      <c r="M32" s="345">
        <f>(M31/L31-1)*100</f>
        <v>4.374807092555244</v>
      </c>
      <c r="N32" s="349"/>
      <c r="O32" s="349"/>
      <c r="P32" s="349"/>
      <c r="Q32" s="350"/>
    </row>
    <row r="33" spans="1:17" s="12" customFormat="1" ht="15" thickBot="1">
      <c r="B33" s="444" t="s">
        <v>115</v>
      </c>
      <c r="C33" s="441" t="s">
        <v>116</v>
      </c>
      <c r="D33" s="338">
        <f>D31</f>
        <v>46148</v>
      </c>
      <c r="E33" s="170">
        <v>152.19999999999999</v>
      </c>
      <c r="F33" s="170">
        <v>240</v>
      </c>
      <c r="G33" s="170">
        <v>202.8</v>
      </c>
      <c r="H33" s="170">
        <v>-3225.1</v>
      </c>
      <c r="I33" s="170">
        <v>-652.1</v>
      </c>
      <c r="J33" s="170">
        <v>-481.6</v>
      </c>
      <c r="K33" s="170">
        <v>-493.2</v>
      </c>
      <c r="L33" s="358">
        <v>-1012.1</v>
      </c>
      <c r="M33" s="358">
        <v>-1536.2</v>
      </c>
      <c r="N33" s="349"/>
      <c r="O33" s="349"/>
      <c r="P33" s="349"/>
      <c r="Q33" s="350"/>
    </row>
    <row r="34" spans="1:17" s="12" customFormat="1" ht="15" thickBot="1">
      <c r="B34" s="445"/>
      <c r="C34" s="441"/>
      <c r="D34" s="338">
        <f>D33</f>
        <v>46148</v>
      </c>
      <c r="E34" s="170">
        <f>E33</f>
        <v>152.19999999999999</v>
      </c>
      <c r="F34" s="170">
        <f t="shared" ref="F34:M34" si="43">F33</f>
        <v>240</v>
      </c>
      <c r="G34" s="170">
        <f t="shared" si="43"/>
        <v>202.8</v>
      </c>
      <c r="H34" s="170">
        <f t="shared" si="43"/>
        <v>-3225.1</v>
      </c>
      <c r="I34" s="170">
        <f t="shared" si="43"/>
        <v>-652.1</v>
      </c>
      <c r="J34" s="170">
        <f t="shared" si="43"/>
        <v>-481.6</v>
      </c>
      <c r="K34" s="170">
        <f t="shared" si="43"/>
        <v>-493.2</v>
      </c>
      <c r="L34" s="170">
        <f t="shared" si="43"/>
        <v>-1012.1</v>
      </c>
      <c r="M34" s="170">
        <f t="shared" si="43"/>
        <v>-1536.2</v>
      </c>
      <c r="N34" s="349"/>
      <c r="O34" s="349"/>
      <c r="P34" s="349"/>
      <c r="Q34" s="350"/>
    </row>
    <row r="35" spans="1:17" ht="15" thickBot="1">
      <c r="B35" s="446" t="s">
        <v>117</v>
      </c>
      <c r="C35" s="441" t="s">
        <v>118</v>
      </c>
      <c r="D35" s="338">
        <f>+D33</f>
        <v>46148</v>
      </c>
      <c r="E35" s="171">
        <f t="shared" ref="E35:J36" si="44">E33/E7*100</f>
        <v>0.36002706116675259</v>
      </c>
      <c r="F35" s="171">
        <f t="shared" si="44"/>
        <v>0.52233641076535342</v>
      </c>
      <c r="G35" s="171">
        <f>G33/G7*100</f>
        <v>0.41186696778176746</v>
      </c>
      <c r="H35" s="171">
        <f t="shared" si="44"/>
        <v>-6.4162452302415618</v>
      </c>
      <c r="I35" s="171">
        <f t="shared" si="44"/>
        <v>-1.1499036309869139</v>
      </c>
      <c r="J35" s="171">
        <f t="shared" si="44"/>
        <v>-0.71793694498152227</v>
      </c>
      <c r="K35" s="171">
        <f t="shared" ref="K35:M36" si="45">K33/K7*100</f>
        <v>-0.66364358087651543</v>
      </c>
      <c r="L35" s="171">
        <f t="shared" si="45"/>
        <v>-1.2812008678898479</v>
      </c>
      <c r="M35" s="171">
        <f t="shared" si="45"/>
        <v>-1.8274780754973758</v>
      </c>
      <c r="N35" s="349"/>
      <c r="O35" s="349"/>
      <c r="P35" s="349"/>
      <c r="Q35" s="350"/>
    </row>
    <row r="36" spans="1:17" ht="15" thickBot="1">
      <c r="B36" s="447"/>
      <c r="C36" s="441"/>
      <c r="D36" s="338">
        <f>D34</f>
        <v>46148</v>
      </c>
      <c r="E36" s="171">
        <f t="shared" si="44"/>
        <v>0.36002706116675259</v>
      </c>
      <c r="F36" s="171">
        <f t="shared" si="44"/>
        <v>0.52233641076535342</v>
      </c>
      <c r="G36" s="171">
        <f t="shared" si="44"/>
        <v>0.41186696778176746</v>
      </c>
      <c r="H36" s="171">
        <f t="shared" si="44"/>
        <v>-6.4162452302415618</v>
      </c>
      <c r="I36" s="171">
        <f t="shared" si="44"/>
        <v>-1.1499036309869139</v>
      </c>
      <c r="J36" s="171">
        <f t="shared" si="44"/>
        <v>-0.71793694498152227</v>
      </c>
      <c r="K36" s="171">
        <f t="shared" si="45"/>
        <v>-0.66364358087651543</v>
      </c>
      <c r="L36" s="171">
        <f t="shared" si="45"/>
        <v>-1.2812008678898479</v>
      </c>
      <c r="M36" s="171">
        <f t="shared" si="45"/>
        <v>-1.8274780754973758</v>
      </c>
      <c r="N36" s="349"/>
      <c r="O36" s="349"/>
      <c r="P36" s="349"/>
      <c r="Q36" s="350"/>
    </row>
    <row r="37" spans="1:17" ht="36.75" customHeight="1" thickBot="1">
      <c r="B37" s="79" t="s">
        <v>119</v>
      </c>
      <c r="C37" s="332" t="s">
        <v>120</v>
      </c>
      <c r="D37" s="338">
        <v>44489</v>
      </c>
      <c r="E37" s="352">
        <v>0.39900000000000002</v>
      </c>
      <c r="F37" s="352">
        <v>0.39900000000000002</v>
      </c>
      <c r="G37" s="352">
        <v>0.39900000000000002</v>
      </c>
      <c r="H37" s="352">
        <v>0.39900000000000002</v>
      </c>
      <c r="I37" s="352">
        <v>0.39900000000000002</v>
      </c>
      <c r="J37" s="352">
        <v>0.39900000000000002</v>
      </c>
      <c r="K37" s="352">
        <v>0.39900000000000002</v>
      </c>
      <c r="L37" s="352">
        <v>0.39900000000000002</v>
      </c>
      <c r="M37" s="352">
        <v>0.39900000000000002</v>
      </c>
      <c r="N37" s="352">
        <v>0.39900000000000002</v>
      </c>
      <c r="O37" s="352">
        <v>0.39900000000000002</v>
      </c>
      <c r="P37" s="352">
        <v>0.39900000000000002</v>
      </c>
      <c r="Q37" s="353">
        <v>0.39900000000000002</v>
      </c>
    </row>
    <row r="38" spans="1:17" ht="36.75" customHeight="1" thickBot="1">
      <c r="A38" s="256"/>
      <c r="B38" s="79" t="s">
        <v>121</v>
      </c>
      <c r="C38" s="332" t="s">
        <v>122</v>
      </c>
      <c r="D38" s="338">
        <f>D26</f>
        <v>46148</v>
      </c>
      <c r="E38" s="351"/>
      <c r="F38" s="351"/>
      <c r="G38" s="351"/>
      <c r="H38" s="343">
        <v>0.1045</v>
      </c>
      <c r="I38" s="343">
        <v>0.10100000000000001</v>
      </c>
      <c r="J38" s="343">
        <v>8.7999999999999995E-2</v>
      </c>
      <c r="K38" s="343">
        <v>9.1999999999999998E-2</v>
      </c>
      <c r="L38" s="343">
        <v>9.1103506854353061E-2</v>
      </c>
      <c r="M38" s="293">
        <v>9.0824542608695283E-2</v>
      </c>
      <c r="N38" s="349"/>
      <c r="O38" s="349"/>
      <c r="P38" s="349"/>
      <c r="Q38" s="350"/>
    </row>
    <row r="39" spans="1:17" ht="36.75" customHeight="1" thickBot="1">
      <c r="B39" s="82" t="s">
        <v>123</v>
      </c>
      <c r="C39" s="341" t="s">
        <v>124</v>
      </c>
      <c r="D39" s="342">
        <f>D26</f>
        <v>46148</v>
      </c>
      <c r="E39" s="354"/>
      <c r="F39" s="354"/>
      <c r="G39" s="354"/>
      <c r="H39" s="355">
        <v>4.4999999999999998E-2</v>
      </c>
      <c r="I39" s="355">
        <v>4.4999999999999998E-2</v>
      </c>
      <c r="J39" s="355">
        <v>4.2000000000000003E-2</v>
      </c>
      <c r="K39" s="355">
        <v>4.5999999999999999E-2</v>
      </c>
      <c r="L39" s="355">
        <v>4.7761278711520451E-2</v>
      </c>
      <c r="M39" s="294">
        <v>4.7582689337508435E-2</v>
      </c>
      <c r="N39" s="356"/>
      <c r="O39" s="356"/>
      <c r="P39" s="356"/>
      <c r="Q39" s="357"/>
    </row>
    <row r="40" spans="1:17" ht="15" thickTop="1">
      <c r="B40" s="14"/>
      <c r="C40" s="14"/>
      <c r="D40" s="14"/>
    </row>
    <row r="41" spans="1:17" ht="15" thickBot="1">
      <c r="C41" s="6" t="s">
        <v>61</v>
      </c>
      <c r="E41" s="443" t="s">
        <v>62</v>
      </c>
      <c r="F41" s="443"/>
      <c r="G41" s="443"/>
      <c r="H41" s="443"/>
      <c r="I41" s="443"/>
      <c r="L41" s="48"/>
    </row>
    <row r="42" spans="1:17" ht="15.75" thickTop="1" thickBot="1">
      <c r="C42" s="6" t="s">
        <v>125</v>
      </c>
      <c r="D42" s="156"/>
      <c r="E42" s="443" t="s">
        <v>126</v>
      </c>
      <c r="F42" s="443"/>
      <c r="G42" s="443"/>
      <c r="H42" s="443"/>
      <c r="I42" s="443"/>
      <c r="J42" s="11"/>
      <c r="K42" s="11"/>
    </row>
    <row r="43" spans="1:17" ht="15" thickBot="1">
      <c r="B43" s="6" t="s">
        <v>127</v>
      </c>
      <c r="C43" s="6" t="s">
        <v>128</v>
      </c>
      <c r="D43" s="155"/>
      <c r="E43" s="442" t="s">
        <v>129</v>
      </c>
      <c r="F43" s="443"/>
      <c r="G43" s="443"/>
      <c r="H43" s="443"/>
      <c r="I43" s="443"/>
      <c r="J43" s="443"/>
      <c r="K43" s="11"/>
    </row>
    <row r="44" spans="1:17" ht="15" customHeight="1" thickBot="1">
      <c r="B44" s="6"/>
      <c r="C44" s="6" t="s">
        <v>130</v>
      </c>
      <c r="D44" s="98"/>
      <c r="E44" s="448" t="s">
        <v>131</v>
      </c>
      <c r="F44" s="448"/>
      <c r="G44" s="448"/>
      <c r="H44" s="448"/>
      <c r="I44" s="448"/>
      <c r="J44" s="448"/>
      <c r="K44" s="448"/>
    </row>
    <row r="45" spans="1:17" ht="15.75" thickTop="1" thickBot="1">
      <c r="C45" s="6" t="s">
        <v>132</v>
      </c>
      <c r="E45" s="443" t="s">
        <v>133</v>
      </c>
      <c r="F45" s="443"/>
      <c r="G45" s="443"/>
      <c r="H45" s="443"/>
      <c r="I45" s="443"/>
    </row>
    <row r="46" spans="1:17" ht="16.5" thickTop="1" thickBot="1">
      <c r="C46" s="15" t="s">
        <v>134</v>
      </c>
      <c r="D46" s="87"/>
      <c r="E46" s="460" t="s">
        <v>135</v>
      </c>
      <c r="F46" s="461"/>
      <c r="G46" s="461"/>
      <c r="H46" s="461"/>
      <c r="I46" s="461"/>
      <c r="J46" s="461"/>
      <c r="K46" s="461"/>
    </row>
    <row r="47" spans="1:17" ht="15" thickTop="1">
      <c r="C47" s="16" t="s">
        <v>136</v>
      </c>
      <c r="D47" s="17">
        <v>4.9999999999999899E-2</v>
      </c>
    </row>
    <row r="50" spans="9:15">
      <c r="I50" s="18"/>
      <c r="J50" s="18"/>
    </row>
    <row r="51" spans="9:15">
      <c r="I51" s="18"/>
      <c r="J51" s="18"/>
    </row>
    <row r="52" spans="9:15">
      <c r="I52" s="18"/>
      <c r="J52" s="18"/>
      <c r="O52" s="49"/>
    </row>
    <row r="53" spans="9:15">
      <c r="I53" s="18"/>
      <c r="J53" s="18"/>
      <c r="O53" s="49"/>
    </row>
    <row r="54" spans="9:15">
      <c r="I54" s="18"/>
      <c r="J54" s="18"/>
      <c r="O54" s="49"/>
    </row>
    <row r="55" spans="9:15">
      <c r="I55" s="18"/>
      <c r="J55" s="18"/>
      <c r="O55" s="49"/>
    </row>
    <row r="56" spans="9:15">
      <c r="I56" s="18"/>
      <c r="J56" s="18"/>
      <c r="O56" s="49"/>
    </row>
    <row r="57" spans="9:15">
      <c r="I57" s="18"/>
      <c r="J57" s="18"/>
      <c r="O57" s="49"/>
    </row>
    <row r="58" spans="9:15">
      <c r="I58" s="18"/>
      <c r="J58" s="18"/>
      <c r="O58" s="49"/>
    </row>
    <row r="59" spans="9:15">
      <c r="I59" s="18"/>
      <c r="J59" s="18"/>
      <c r="O59" s="49"/>
    </row>
    <row r="60" spans="9:15">
      <c r="I60" s="18"/>
      <c r="J60" s="18"/>
      <c r="O60" s="49"/>
    </row>
    <row r="61" spans="9:15">
      <c r="I61" s="18"/>
      <c r="J61" s="18"/>
      <c r="L61" s="49"/>
    </row>
  </sheetData>
  <mergeCells count="40">
    <mergeCell ref="B3:Q3"/>
    <mergeCell ref="N4:Q4"/>
    <mergeCell ref="E4:L4"/>
    <mergeCell ref="E46:K46"/>
    <mergeCell ref="E45:I45"/>
    <mergeCell ref="B13:B14"/>
    <mergeCell ref="C13:C14"/>
    <mergeCell ref="B23:B24"/>
    <mergeCell ref="C23:C24"/>
    <mergeCell ref="B25:B26"/>
    <mergeCell ref="C25:C26"/>
    <mergeCell ref="B19:B20"/>
    <mergeCell ref="C19:C20"/>
    <mergeCell ref="B21:B22"/>
    <mergeCell ref="C21:C22"/>
    <mergeCell ref="B27:B28"/>
    <mergeCell ref="E44:K44"/>
    <mergeCell ref="E41:I41"/>
    <mergeCell ref="B4:B5"/>
    <mergeCell ref="B9:B10"/>
    <mergeCell ref="C9:C10"/>
    <mergeCell ref="D4:D5"/>
    <mergeCell ref="B7:B8"/>
    <mergeCell ref="C7:C8"/>
    <mergeCell ref="B15:B16"/>
    <mergeCell ref="C15:C16"/>
    <mergeCell ref="B17:B18"/>
    <mergeCell ref="C17:C18"/>
    <mergeCell ref="B11:B12"/>
    <mergeCell ref="C11:C12"/>
    <mergeCell ref="B35:B36"/>
    <mergeCell ref="C35:C36"/>
    <mergeCell ref="C27:C28"/>
    <mergeCell ref="C4:C5"/>
    <mergeCell ref="E43:J43"/>
    <mergeCell ref="C29:C30"/>
    <mergeCell ref="B33:B34"/>
    <mergeCell ref="C33:C34"/>
    <mergeCell ref="E42:I42"/>
    <mergeCell ref="B29:B30"/>
  </mergeCells>
  <phoneticPr fontId="64" type="noConversion"/>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7"/>
  </sheetPr>
  <dimension ref="A1:M42"/>
  <sheetViews>
    <sheetView showGridLines="0" showRowColHeaders="0" topLeftCell="A31" zoomScaleNormal="100" workbookViewId="0">
      <selection activeCell="B33" sqref="B33"/>
    </sheetView>
  </sheetViews>
  <sheetFormatPr defaultColWidth="10" defaultRowHeight="14.25"/>
  <cols>
    <col min="1" max="1" width="4.140625" style="1" customWidth="1"/>
    <col min="2" max="2" width="69" style="1" customWidth="1"/>
    <col min="3" max="3" width="24.28515625" style="1" customWidth="1"/>
    <col min="4" max="4" width="15.85546875" style="1" customWidth="1"/>
    <col min="5" max="5" width="11.28515625" style="1" customWidth="1"/>
    <col min="6" max="8" width="11.42578125" style="1" customWidth="1"/>
    <col min="9" max="16384" width="10" style="1"/>
  </cols>
  <sheetData>
    <row r="1" spans="1:11">
      <c r="B1" s="69" t="s">
        <v>32</v>
      </c>
      <c r="C1" s="3"/>
      <c r="D1" s="3"/>
      <c r="E1" s="3"/>
      <c r="F1" s="291"/>
      <c r="G1" s="3"/>
      <c r="H1" s="3"/>
    </row>
    <row r="2" spans="1:11" ht="15" thickBot="1">
      <c r="A2" s="8"/>
    </row>
    <row r="3" spans="1:11" ht="34.15" customHeight="1" thickTop="1" thickBot="1">
      <c r="B3" s="452" t="s">
        <v>137</v>
      </c>
      <c r="C3" s="453"/>
      <c r="D3" s="153"/>
      <c r="E3" s="153"/>
      <c r="F3" s="153"/>
      <c r="G3" s="153"/>
      <c r="H3" s="154"/>
    </row>
    <row r="4" spans="1:11" ht="21.75" customHeight="1" thickBot="1">
      <c r="B4" s="449" t="s">
        <v>68</v>
      </c>
      <c r="C4" s="418" t="s">
        <v>138</v>
      </c>
      <c r="D4" s="418" t="s">
        <v>139</v>
      </c>
      <c r="E4" s="469" t="s">
        <v>37</v>
      </c>
      <c r="F4" s="469"/>
      <c r="G4" s="463" t="s">
        <v>38</v>
      </c>
      <c r="H4" s="464"/>
    </row>
    <row r="5" spans="1:11" ht="15" thickBot="1">
      <c r="B5" s="468"/>
      <c r="C5" s="418"/>
      <c r="D5" s="418"/>
      <c r="E5" s="77">
        <v>2024</v>
      </c>
      <c r="F5" s="77">
        <v>2025</v>
      </c>
      <c r="G5" s="99">
        <f>E5</f>
        <v>2024</v>
      </c>
      <c r="H5" s="100">
        <f>F5</f>
        <v>2025</v>
      </c>
    </row>
    <row r="6" spans="1:11" ht="29.25" thickBot="1">
      <c r="B6" s="79" t="s">
        <v>140</v>
      </c>
      <c r="C6" s="74"/>
      <c r="D6" s="72" t="s">
        <v>141</v>
      </c>
      <c r="E6" s="75">
        <f>'2. Macro'!L8</f>
        <v>78996.2</v>
      </c>
      <c r="F6" s="75">
        <f>'2. Macro'!M8</f>
        <v>84061.2</v>
      </c>
      <c r="G6" s="75">
        <f>'2. Macro'!L7</f>
        <v>78996.2</v>
      </c>
      <c r="H6" s="80">
        <f>'2. Macro'!M7</f>
        <v>84061.2</v>
      </c>
    </row>
    <row r="7" spans="1:11" s="10" customFormat="1" ht="15" thickBot="1">
      <c r="B7" s="444" t="s">
        <v>142</v>
      </c>
      <c r="C7" s="465" t="s">
        <v>143</v>
      </c>
      <c r="D7" s="73" t="s">
        <v>141</v>
      </c>
      <c r="E7" s="75">
        <f>E13-E15</f>
        <v>-1012.2000000000007</v>
      </c>
      <c r="F7" s="75">
        <f>F13-F15</f>
        <v>-1536.3000000000029</v>
      </c>
      <c r="G7" s="75">
        <f>G13-G15</f>
        <v>-1012.2000000000007</v>
      </c>
      <c r="H7" s="80">
        <f>H13-H15</f>
        <v>-1536.3000000000029</v>
      </c>
      <c r="J7" s="51"/>
      <c r="K7" s="51"/>
    </row>
    <row r="8" spans="1:11" s="10" customFormat="1" ht="15" thickBot="1">
      <c r="B8" s="444"/>
      <c r="C8" s="465"/>
      <c r="D8" s="73" t="s">
        <v>144</v>
      </c>
      <c r="E8" s="75">
        <f>E7/$E$6*100</f>
        <v>-1.2813274562573906</v>
      </c>
      <c r="F8" s="75">
        <f>F7/$F$6*100</f>
        <v>-1.8275970364448793</v>
      </c>
      <c r="G8" s="75">
        <f>G7/G6*100</f>
        <v>-1.2813274562573906</v>
      </c>
      <c r="H8" s="75">
        <f>H7/H6*100</f>
        <v>-1.8275970364448793</v>
      </c>
    </row>
    <row r="9" spans="1:11" s="10" customFormat="1" ht="15" thickBot="1">
      <c r="B9" s="466" t="s">
        <v>145</v>
      </c>
      <c r="C9" s="465" t="s">
        <v>146</v>
      </c>
      <c r="D9" s="73" t="s">
        <v>141</v>
      </c>
      <c r="E9" s="152">
        <v>977.13189657999465</v>
      </c>
      <c r="F9" s="152">
        <v>960.44001444999867</v>
      </c>
      <c r="G9" s="265">
        <v>977.13189657999465</v>
      </c>
      <c r="H9" s="266">
        <v>960.44001444999867</v>
      </c>
    </row>
    <row r="10" spans="1:11" s="10" customFormat="1" ht="15" thickBot="1">
      <c r="B10" s="466"/>
      <c r="C10" s="465"/>
      <c r="D10" s="73" t="s">
        <v>144</v>
      </c>
      <c r="E10" s="75">
        <f>E9/$E$6*100</f>
        <v>1.2369353166101593</v>
      </c>
      <c r="F10" s="75">
        <f>F9/$F$6*100</f>
        <v>1.1425485413603407</v>
      </c>
      <c r="G10" s="75">
        <f>G9/$G$6*100</f>
        <v>1.2369353166101593</v>
      </c>
      <c r="H10" s="80">
        <f>H9/$H$6*100</f>
        <v>1.1425485413603407</v>
      </c>
      <c r="I10" s="19"/>
    </row>
    <row r="11" spans="1:11" s="10" customFormat="1" ht="15" thickBot="1">
      <c r="B11" s="466" t="s">
        <v>147</v>
      </c>
      <c r="C11" s="465" t="s">
        <v>148</v>
      </c>
      <c r="D11" s="73" t="s">
        <v>141</v>
      </c>
      <c r="E11" s="152">
        <v>-38.627800000000207</v>
      </c>
      <c r="F11" s="152">
        <v>-95.69609279999986</v>
      </c>
      <c r="G11" s="265">
        <f>E11</f>
        <v>-38.627800000000207</v>
      </c>
      <c r="H11" s="266">
        <f>F11</f>
        <v>-95.69609279999986</v>
      </c>
      <c r="I11" s="19"/>
    </row>
    <row r="12" spans="1:11" s="10" customFormat="1" ht="15" thickBot="1">
      <c r="B12" s="466"/>
      <c r="C12" s="465"/>
      <c r="D12" s="73" t="s">
        <v>144</v>
      </c>
      <c r="E12" s="75">
        <f>E11/E6*100</f>
        <v>-4.8898301437284589E-2</v>
      </c>
      <c r="F12" s="75">
        <f>F11/F6*100</f>
        <v>-0.11384097871550711</v>
      </c>
      <c r="G12" s="75">
        <f>G11/G6*100</f>
        <v>-4.8898301437284589E-2</v>
      </c>
      <c r="H12" s="80">
        <f>H11/H6*100</f>
        <v>-0.11384097871550711</v>
      </c>
    </row>
    <row r="13" spans="1:11" s="10" customFormat="1" ht="15" thickBot="1">
      <c r="B13" s="444" t="s">
        <v>149</v>
      </c>
      <c r="C13" s="441" t="s">
        <v>150</v>
      </c>
      <c r="D13" s="73" t="s">
        <v>141</v>
      </c>
      <c r="E13" s="152">
        <v>30124.7</v>
      </c>
      <c r="F13" s="152">
        <v>33202.199999999997</v>
      </c>
      <c r="G13" s="265">
        <f>E13</f>
        <v>30124.7</v>
      </c>
      <c r="H13" s="265">
        <f>F13</f>
        <v>33202.199999999997</v>
      </c>
    </row>
    <row r="14" spans="1:11" s="10" customFormat="1" ht="15" thickBot="1">
      <c r="B14" s="445"/>
      <c r="C14" s="441"/>
      <c r="D14" s="73" t="s">
        <v>144</v>
      </c>
      <c r="E14" s="75">
        <f>E13/$E$6*100</f>
        <v>38.134365956843496</v>
      </c>
      <c r="F14" s="75">
        <f>F13/$F$6*100</f>
        <v>39.497651710896342</v>
      </c>
      <c r="G14" s="75">
        <f>G13/$G$6*100</f>
        <v>38.134365956843496</v>
      </c>
      <c r="H14" s="80">
        <f>H13/$H$6*100</f>
        <v>39.497651710896342</v>
      </c>
    </row>
    <row r="15" spans="1:11" s="10" customFormat="1" ht="15" thickBot="1">
      <c r="B15" s="444" t="s">
        <v>151</v>
      </c>
      <c r="C15" s="441" t="s">
        <v>152</v>
      </c>
      <c r="D15" s="73" t="s">
        <v>141</v>
      </c>
      <c r="E15" s="152">
        <v>31136.9</v>
      </c>
      <c r="F15" s="152">
        <v>34738.5</v>
      </c>
      <c r="G15" s="265">
        <f>E15</f>
        <v>31136.9</v>
      </c>
      <c r="H15" s="265">
        <f>F15</f>
        <v>34738.5</v>
      </c>
      <c r="I15" s="51"/>
    </row>
    <row r="16" spans="1:11" s="10" customFormat="1" ht="15" thickBot="1">
      <c r="B16" s="445"/>
      <c r="C16" s="441"/>
      <c r="D16" s="73" t="s">
        <v>144</v>
      </c>
      <c r="E16" s="75">
        <f>E15/E6*100</f>
        <v>39.41569341310089</v>
      </c>
      <c r="F16" s="75">
        <f>F15/F6*100</f>
        <v>41.325248747341227</v>
      </c>
      <c r="G16" s="75">
        <f>G15/$G$6*100</f>
        <v>39.41569341310089</v>
      </c>
      <c r="H16" s="80">
        <f>H15/$H$6*100</f>
        <v>41.325248747341227</v>
      </c>
    </row>
    <row r="17" spans="2:11" s="10" customFormat="1" ht="15" thickBot="1">
      <c r="B17" s="466" t="s">
        <v>153</v>
      </c>
      <c r="C17" s="441" t="s">
        <v>154</v>
      </c>
      <c r="D17" s="73" t="s">
        <v>141</v>
      </c>
      <c r="E17" s="267">
        <v>15078.6</v>
      </c>
      <c r="F17" s="268">
        <v>18474.099999999999</v>
      </c>
      <c r="G17" s="267">
        <f>E17</f>
        <v>15078.6</v>
      </c>
      <c r="H17" s="269">
        <f>F17</f>
        <v>18474.099999999999</v>
      </c>
    </row>
    <row r="18" spans="2:11" s="10" customFormat="1" ht="15" thickBot="1">
      <c r="B18" s="466"/>
      <c r="C18" s="441"/>
      <c r="D18" s="73" t="s">
        <v>144</v>
      </c>
      <c r="E18" s="75">
        <f>E17/$E$6*100</f>
        <v>19.08775358814728</v>
      </c>
      <c r="F18" s="75">
        <f>F17/F6*100</f>
        <v>21.976964402126072</v>
      </c>
      <c r="G18" s="75">
        <f>G17/G6*100</f>
        <v>19.08775358814728</v>
      </c>
      <c r="H18" s="80">
        <f>H17/H6*100</f>
        <v>21.976964402126072</v>
      </c>
    </row>
    <row r="19" spans="2:11" s="10" customFormat="1" ht="15" thickBot="1">
      <c r="B19" s="466" t="s">
        <v>155</v>
      </c>
      <c r="C19" s="441" t="s">
        <v>156</v>
      </c>
      <c r="D19" s="73" t="s">
        <v>141</v>
      </c>
      <c r="E19" s="267">
        <v>10759</v>
      </c>
      <c r="F19" s="268">
        <v>12020.2</v>
      </c>
      <c r="G19" s="267">
        <f>E19</f>
        <v>10759</v>
      </c>
      <c r="H19" s="269">
        <f>F19</f>
        <v>12020.2</v>
      </c>
    </row>
    <row r="20" spans="2:11" s="10" customFormat="1" ht="15" thickBot="1">
      <c r="B20" s="467"/>
      <c r="C20" s="441"/>
      <c r="D20" s="73" t="s">
        <v>144</v>
      </c>
      <c r="E20" s="75">
        <f t="shared" ref="E20" si="0">E19/E6*100</f>
        <v>13.619642463814715</v>
      </c>
      <c r="F20" s="75">
        <f>F19/F6*100</f>
        <v>14.299343811413589</v>
      </c>
      <c r="G20" s="75">
        <f>G19/G6*100</f>
        <v>13.619642463814715</v>
      </c>
      <c r="H20" s="80">
        <f>H19/H6*100</f>
        <v>14.299343811413589</v>
      </c>
      <c r="J20" s="1"/>
      <c r="K20" s="1"/>
    </row>
    <row r="21" spans="2:11" s="10" customFormat="1" ht="15" thickBot="1">
      <c r="B21" s="444" t="s">
        <v>157</v>
      </c>
      <c r="C21" s="465" t="s">
        <v>158</v>
      </c>
      <c r="D21" s="73" t="s">
        <v>141</v>
      </c>
      <c r="E21" s="75">
        <f>E19+E17</f>
        <v>25837.599999999999</v>
      </c>
      <c r="F21" s="75">
        <f>F19+F17</f>
        <v>30494.3</v>
      </c>
      <c r="G21" s="75">
        <f>G19+G17</f>
        <v>25837.599999999999</v>
      </c>
      <c r="H21" s="80">
        <f>H17+H19</f>
        <v>30494.3</v>
      </c>
      <c r="J21" s="1"/>
      <c r="K21" s="1"/>
    </row>
    <row r="22" spans="2:11" s="10" customFormat="1" ht="16.5" customHeight="1" thickBot="1">
      <c r="B22" s="444"/>
      <c r="C22" s="465"/>
      <c r="D22" s="73" t="s">
        <v>144</v>
      </c>
      <c r="E22" s="75">
        <f>E21/E6*100</f>
        <v>32.707396051961993</v>
      </c>
      <c r="F22" s="75">
        <f>F21/F6*100</f>
        <v>36.276308213539657</v>
      </c>
      <c r="G22" s="75">
        <f>G21/$G$6*100</f>
        <v>32.707396051961993</v>
      </c>
      <c r="H22" s="80">
        <f>H21/$H$6*100</f>
        <v>36.276308213539657</v>
      </c>
      <c r="J22" s="1"/>
      <c r="K22" s="1"/>
    </row>
    <row r="23" spans="2:11" s="10" customFormat="1" ht="15" thickBot="1">
      <c r="B23" s="444" t="s">
        <v>159</v>
      </c>
      <c r="C23" s="441" t="s">
        <v>160</v>
      </c>
      <c r="D23" s="73" t="s">
        <v>141</v>
      </c>
      <c r="E23" s="150">
        <v>2.2000000000000002</v>
      </c>
      <c r="F23" s="150">
        <v>96.606999999999999</v>
      </c>
      <c r="G23" s="150">
        <f>E23</f>
        <v>2.2000000000000002</v>
      </c>
      <c r="H23" s="151">
        <f>F23</f>
        <v>96.606999999999999</v>
      </c>
      <c r="J23" s="1"/>
      <c r="K23" s="1"/>
    </row>
    <row r="24" spans="2:11" ht="15" thickBot="1">
      <c r="B24" s="445"/>
      <c r="C24" s="441"/>
      <c r="D24" s="73" t="s">
        <v>144</v>
      </c>
      <c r="E24" s="75">
        <f>E23/E6*100</f>
        <v>2.7849440859180571E-3</v>
      </c>
      <c r="F24" s="75">
        <f>F23/F6*100</f>
        <v>0.11492460255147439</v>
      </c>
      <c r="G24" s="75">
        <f>G23/G6*100</f>
        <v>2.7849440859180571E-3</v>
      </c>
      <c r="H24" s="80">
        <f>H23/H6*100</f>
        <v>0.11492460255147439</v>
      </c>
    </row>
    <row r="25" spans="2:11" ht="15" thickBot="1">
      <c r="B25" s="444" t="s">
        <v>161</v>
      </c>
      <c r="C25" s="441" t="s">
        <v>162</v>
      </c>
      <c r="D25" s="73" t="s">
        <v>141</v>
      </c>
      <c r="E25" s="150">
        <v>0</v>
      </c>
      <c r="F25" s="150">
        <v>0</v>
      </c>
      <c r="G25" s="150">
        <v>0</v>
      </c>
      <c r="H25" s="151">
        <v>0</v>
      </c>
    </row>
    <row r="26" spans="2:11" ht="15" thickBot="1">
      <c r="B26" s="445"/>
      <c r="C26" s="441"/>
      <c r="D26" s="73" t="s">
        <v>144</v>
      </c>
      <c r="E26" s="75">
        <f>E25/$E$6*100</f>
        <v>0</v>
      </c>
      <c r="F26" s="75">
        <f>F25/$F$6*100</f>
        <v>0</v>
      </c>
      <c r="G26" s="75">
        <f>G25/$G$6*100</f>
        <v>0</v>
      </c>
      <c r="H26" s="80">
        <f>H25/$H$6*100</f>
        <v>0</v>
      </c>
    </row>
    <row r="27" spans="2:11" ht="15" thickBot="1">
      <c r="B27" s="444" t="s">
        <v>163</v>
      </c>
      <c r="C27" s="441" t="s">
        <v>164</v>
      </c>
      <c r="D27" s="73" t="s">
        <v>141</v>
      </c>
      <c r="E27" s="150">
        <v>0</v>
      </c>
      <c r="F27" s="150">
        <v>0</v>
      </c>
      <c r="G27" s="150">
        <v>0</v>
      </c>
      <c r="H27" s="151">
        <v>0</v>
      </c>
    </row>
    <row r="28" spans="2:11" ht="15" thickBot="1">
      <c r="B28" s="445"/>
      <c r="C28" s="441"/>
      <c r="D28" s="73" t="s">
        <v>144</v>
      </c>
      <c r="E28" s="75">
        <f>E27/$E$6*100</f>
        <v>0</v>
      </c>
      <c r="F28" s="75">
        <f>F27/$F$6*100</f>
        <v>0</v>
      </c>
      <c r="G28" s="75">
        <f>G27/$G$6*100</f>
        <v>0</v>
      </c>
      <c r="H28" s="80">
        <f>H27/$H$6*100</f>
        <v>0</v>
      </c>
    </row>
    <row r="29" spans="2:11" ht="29.25" thickBot="1">
      <c r="B29" s="81" t="s">
        <v>165</v>
      </c>
      <c r="C29" s="73" t="s">
        <v>166</v>
      </c>
      <c r="D29" s="73" t="s">
        <v>144</v>
      </c>
      <c r="E29" s="173">
        <v>0</v>
      </c>
      <c r="F29" s="173">
        <v>0</v>
      </c>
      <c r="G29" s="173">
        <f>E29</f>
        <v>0</v>
      </c>
      <c r="H29" s="174">
        <f>F29</f>
        <v>0</v>
      </c>
    </row>
    <row r="30" spans="2:11" ht="33" customHeight="1" thickBot="1">
      <c r="B30" s="81" t="s">
        <v>167</v>
      </c>
      <c r="C30" s="73" t="s">
        <v>168</v>
      </c>
      <c r="D30" s="73" t="s">
        <v>144</v>
      </c>
      <c r="E30" s="150">
        <f>E8-'2. Macro'!L22-E24+E29</f>
        <v>-0.70928449213427502</v>
      </c>
      <c r="F30" s="150">
        <f>F8-'2. Macro'!M22-F24+F29</f>
        <v>-1.5348787891020055</v>
      </c>
      <c r="G30" s="101">
        <f>G8-'2. Macro'!L21-G24+G29</f>
        <v>-1.3684743786615947</v>
      </c>
      <c r="H30" s="102">
        <f>H8-'2. Macro'!M21-H24+H29</f>
        <v>-1.9075347590529397</v>
      </c>
    </row>
    <row r="31" spans="2:11" ht="29.25" thickBot="1">
      <c r="B31" s="81" t="s">
        <v>169</v>
      </c>
      <c r="C31" s="73" t="s">
        <v>170</v>
      </c>
      <c r="D31" s="73" t="s">
        <v>144</v>
      </c>
      <c r="E31" s="171">
        <f>E10-'2. Macro'!K24-E26</f>
        <v>1.3914671844322273</v>
      </c>
      <c r="F31" s="171">
        <f>F10-'2. Macro'!L24-F26</f>
        <v>1.2737987626024336</v>
      </c>
      <c r="G31" s="171">
        <f>G10-'2. Macro'!L23-G26</f>
        <v>1.2176729805952051</v>
      </c>
      <c r="H31" s="172">
        <f>H10-'2. Macro'!L23-H26</f>
        <v>1.1232862053453865</v>
      </c>
    </row>
    <row r="32" spans="2:11" ht="29.25" thickBot="1">
      <c r="B32" s="81" t="s">
        <v>171</v>
      </c>
      <c r="C32" s="73" t="s">
        <v>172</v>
      </c>
      <c r="D32" s="73" t="s">
        <v>144</v>
      </c>
      <c r="E32" s="171">
        <f>E12-'2. Macro'!L26-E28</f>
        <v>1.9910009177081189E-2</v>
      </c>
      <c r="F32" s="171">
        <f>F12-'2. Macro'!M26-F28</f>
        <v>-6.5227587519568905E-2</v>
      </c>
      <c r="G32" s="173">
        <f>G12-'2. Macro'!L25-G28</f>
        <v>-5.8996637174414675E-2</v>
      </c>
      <c r="H32" s="174">
        <f>H12-'2. Macro'!M25-H28</f>
        <v>-0.10966862322869966</v>
      </c>
    </row>
    <row r="33" spans="2:13" ht="29.25" thickBot="1">
      <c r="B33" s="81" t="s">
        <v>173</v>
      </c>
      <c r="C33" s="76" t="s">
        <v>174</v>
      </c>
      <c r="D33" s="73" t="s">
        <v>144</v>
      </c>
      <c r="E33" s="188">
        <v>-1</v>
      </c>
      <c r="F33" s="188">
        <v>-1</v>
      </c>
      <c r="G33" s="188">
        <v>-1</v>
      </c>
      <c r="H33" s="189">
        <v>-1</v>
      </c>
    </row>
    <row r="34" spans="2:13" ht="29.25" thickBot="1">
      <c r="B34" s="82" t="s">
        <v>175</v>
      </c>
      <c r="C34" s="83" t="s">
        <v>176</v>
      </c>
      <c r="D34" s="84" t="s">
        <v>144</v>
      </c>
      <c r="E34" s="83">
        <v>0</v>
      </c>
      <c r="F34" s="83">
        <v>0</v>
      </c>
      <c r="G34" s="83">
        <v>0</v>
      </c>
      <c r="H34" s="85">
        <v>0</v>
      </c>
      <c r="J34" s="53"/>
      <c r="K34" s="53"/>
    </row>
    <row r="35" spans="2:13" ht="15" thickTop="1">
      <c r="C35" s="20"/>
      <c r="D35" s="20"/>
      <c r="E35" s="20"/>
      <c r="F35" s="20"/>
      <c r="G35" s="20"/>
      <c r="H35" s="20"/>
    </row>
    <row r="36" spans="2:13" ht="15" thickBot="1">
      <c r="C36" s="6" t="s">
        <v>61</v>
      </c>
      <c r="D36" s="6"/>
      <c r="E36" s="42" t="s">
        <v>62</v>
      </c>
    </row>
    <row r="37" spans="2:13" ht="16.5" thickTop="1" thickBot="1">
      <c r="B37" s="21"/>
      <c r="C37" s="22" t="s">
        <v>177</v>
      </c>
      <c r="D37" s="88"/>
      <c r="E37" s="70" t="s">
        <v>178</v>
      </c>
      <c r="F37" s="11"/>
      <c r="G37" s="11"/>
    </row>
    <row r="38" spans="2:13" ht="15" customHeight="1" thickBot="1">
      <c r="B38" s="23"/>
      <c r="C38" s="6" t="s">
        <v>130</v>
      </c>
      <c r="D38" s="98"/>
      <c r="E38" s="470" t="s">
        <v>131</v>
      </c>
      <c r="F38" s="448"/>
      <c r="G38" s="448"/>
      <c r="H38" s="448"/>
      <c r="I38" s="448"/>
      <c r="J38" s="448"/>
      <c r="K38" s="448"/>
      <c r="L38" s="448"/>
      <c r="M38" s="53"/>
    </row>
    <row r="39" spans="2:13" ht="15.75" thickTop="1" thickBot="1">
      <c r="C39" s="6"/>
      <c r="E39" s="37"/>
    </row>
    <row r="40" spans="2:13" ht="16.5" thickTop="1" thickBot="1">
      <c r="C40" s="15" t="s">
        <v>134</v>
      </c>
      <c r="D40" s="87"/>
      <c r="E40" s="71" t="s">
        <v>135</v>
      </c>
      <c r="F40" s="34"/>
      <c r="G40" s="34"/>
    </row>
    <row r="41" spans="2:13" ht="14.45" customHeight="1" thickTop="1">
      <c r="C41" s="462"/>
      <c r="D41" s="462"/>
      <c r="E41" s="11"/>
      <c r="F41" s="11"/>
      <c r="G41" s="11"/>
      <c r="H41" s="11"/>
    </row>
    <row r="42" spans="2:13">
      <c r="C42" s="462"/>
      <c r="D42" s="462"/>
      <c r="E42" s="11"/>
      <c r="F42" s="11"/>
      <c r="G42" s="11"/>
      <c r="H42" s="11"/>
    </row>
  </sheetData>
  <mergeCells count="31">
    <mergeCell ref="E38:L38"/>
    <mergeCell ref="B27:B28"/>
    <mergeCell ref="B15:B16"/>
    <mergeCell ref="C15:C16"/>
    <mergeCell ref="B23:B24"/>
    <mergeCell ref="C23:C24"/>
    <mergeCell ref="B25:B26"/>
    <mergeCell ref="C25:C26"/>
    <mergeCell ref="B21:B22"/>
    <mergeCell ref="C21:C22"/>
    <mergeCell ref="B3:C3"/>
    <mergeCell ref="B4:B5"/>
    <mergeCell ref="C4:C5"/>
    <mergeCell ref="D4:D5"/>
    <mergeCell ref="E4:F4"/>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C27:C28"/>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theme="7"/>
  </sheetPr>
  <dimension ref="A1:L45"/>
  <sheetViews>
    <sheetView showGridLines="0" topLeftCell="A23" zoomScale="80" zoomScaleNormal="80" workbookViewId="0">
      <selection activeCell="E44" sqref="E44"/>
    </sheetView>
  </sheetViews>
  <sheetFormatPr defaultColWidth="10" defaultRowHeight="14.25"/>
  <cols>
    <col min="1" max="1" width="3.7109375" style="1" customWidth="1"/>
    <col min="2" max="2" width="5.28515625" style="1" customWidth="1"/>
    <col min="3" max="3" width="62.5703125" style="1" customWidth="1"/>
    <col min="4" max="4" width="23.28515625" style="1" customWidth="1"/>
    <col min="5" max="6" width="18.85546875" style="1" customWidth="1"/>
    <col min="7" max="16384" width="10" style="1"/>
  </cols>
  <sheetData>
    <row r="1" spans="1:12">
      <c r="A1" s="190"/>
      <c r="B1" s="498" t="s">
        <v>32</v>
      </c>
      <c r="C1" s="498"/>
      <c r="D1" s="190"/>
      <c r="E1" s="20"/>
      <c r="F1" s="20"/>
    </row>
    <row r="2" spans="1:12" ht="15" thickBot="1">
      <c r="A2" s="191" t="s">
        <v>33</v>
      </c>
      <c r="B2" s="20"/>
      <c r="C2" s="20"/>
      <c r="D2" s="20"/>
      <c r="E2" s="20"/>
      <c r="F2" s="20"/>
    </row>
    <row r="3" spans="1:12" ht="34.5" customHeight="1" thickTop="1" thickBot="1">
      <c r="A3" s="181"/>
      <c r="B3" s="499" t="s">
        <v>179</v>
      </c>
      <c r="C3" s="500"/>
      <c r="D3" s="500"/>
      <c r="E3" s="500"/>
      <c r="F3" s="501"/>
    </row>
    <row r="4" spans="1:12" ht="41.25" customHeight="1" thickBot="1">
      <c r="A4" s="20"/>
      <c r="B4" s="145" t="s">
        <v>180</v>
      </c>
      <c r="C4" s="89" t="s">
        <v>181</v>
      </c>
      <c r="D4" s="89" t="s">
        <v>182</v>
      </c>
      <c r="E4" s="502" t="s">
        <v>183</v>
      </c>
      <c r="F4" s="503"/>
      <c r="J4" s="40"/>
      <c r="K4" s="40"/>
      <c r="L4" s="40"/>
    </row>
    <row r="5" spans="1:12" ht="33" customHeight="1" thickBot="1">
      <c r="A5" s="20"/>
      <c r="B5" s="504" t="s">
        <v>184</v>
      </c>
      <c r="C5" s="505"/>
      <c r="D5" s="505"/>
      <c r="E5" s="144" t="s">
        <v>37</v>
      </c>
      <c r="F5" s="103" t="s">
        <v>38</v>
      </c>
      <c r="J5" s="40"/>
      <c r="K5" s="40"/>
      <c r="L5" s="40"/>
    </row>
    <row r="6" spans="1:12" ht="14.25" customHeight="1">
      <c r="A6" s="20"/>
      <c r="B6" s="506"/>
      <c r="C6" s="186" t="s">
        <v>185</v>
      </c>
      <c r="D6" s="492"/>
      <c r="E6" s="476" t="str">
        <f>"Ne"</f>
        <v>Ne</v>
      </c>
      <c r="F6" s="477"/>
    </row>
    <row r="7" spans="1:12" ht="14.25" customHeight="1" thickBot="1">
      <c r="A7" s="20"/>
      <c r="B7" s="507"/>
      <c r="C7" s="187" t="s">
        <v>40</v>
      </c>
      <c r="D7" s="493"/>
      <c r="E7" s="490" t="str">
        <f>"No"</f>
        <v>No</v>
      </c>
      <c r="F7" s="491"/>
    </row>
    <row r="8" spans="1:12" ht="18" customHeight="1">
      <c r="A8" s="20"/>
      <c r="B8" s="495" t="s">
        <v>186</v>
      </c>
      <c r="C8" s="485" t="s">
        <v>187</v>
      </c>
      <c r="D8" s="487" t="s">
        <v>188</v>
      </c>
      <c r="E8" s="91" t="str">
        <f>IF(E28&gt;eps,"Tiesa","Netiesa")</f>
        <v>Netiesa</v>
      </c>
      <c r="F8" s="104" t="str">
        <f>IF(F28&gt;eps,"Tiesa","Netiesa")</f>
        <v>Netiesa</v>
      </c>
    </row>
    <row r="9" spans="1:12" ht="15.75" customHeight="1">
      <c r="A9" s="20"/>
      <c r="B9" s="496"/>
      <c r="C9" s="486"/>
      <c r="D9" s="488"/>
      <c r="E9" s="133" t="str">
        <f>CONCATENATE(FIXED(E28,1),IF(E28="Tiesa"," ≥ "," &lt; "),FIXED(0,1))</f>
        <v>-1,5 &lt; 0,0</v>
      </c>
      <c r="F9" s="175" t="str">
        <f>CONCATENATE(FIXED(F28,1),IF(F28="Tiesa"," ≥ "," &lt; "),FIXED(0,1))</f>
        <v>-1,9 &lt; 0,0</v>
      </c>
      <c r="H9" s="24"/>
    </row>
    <row r="10" spans="1:12" ht="15" thickBot="1">
      <c r="A10" s="20"/>
      <c r="B10" s="497"/>
      <c r="C10" s="176" t="s">
        <v>189</v>
      </c>
      <c r="D10" s="489"/>
      <c r="E10" s="138" t="str">
        <f>IF(E8="Tiesa","True","False")</f>
        <v>False</v>
      </c>
      <c r="F10" s="105" t="str">
        <f>IF(F8="Tiesa","True","False")</f>
        <v>False</v>
      </c>
      <c r="H10" s="24"/>
    </row>
    <row r="11" spans="1:12" ht="36" customHeight="1">
      <c r="A11" s="20"/>
      <c r="B11" s="495" t="s">
        <v>190</v>
      </c>
      <c r="C11" s="485" t="s">
        <v>191</v>
      </c>
      <c r="D11" s="487" t="s">
        <v>192</v>
      </c>
      <c r="E11" s="91" t="str">
        <f>IF((ABS(E28)+eps&lt;ABS($E$30))*(ABS(E28)&lt;ABS(E29))*(E31&gt;=-eps),"Tiesa","Netiesa")</f>
        <v>Netiesa</v>
      </c>
      <c r="F11" s="104" t="str">
        <f>IF((ABS(F28)+eps&lt;ABS($E$30))*(ABS(F28)&lt;ABS(F29))*(F31&gt;=-eps),"Tiesa","Netiesa")</f>
        <v>Netiesa</v>
      </c>
      <c r="I11" s="12"/>
    </row>
    <row r="12" spans="1:12" ht="43.5" customHeight="1">
      <c r="A12" s="20"/>
      <c r="B12" s="496"/>
      <c r="C12" s="486"/>
      <c r="D12" s="488"/>
      <c r="E12" s="93" t="str">
        <f>CONCATENATE(FIXED(ABS(E28),1),IF(ABS(E28)+eps&lt;ABS($E$30)," &lt; "," ≥ "),FIXED(ABS($E$30),1)," &amp;
",FIXED(ABS(E28),1),IF(ABS(E28)&lt;ABS(E29)," &lt; "," ≥ "),FIXED(ABS(E29),1)," &amp;
",FIXED(E31,1),IF(E31&lt;-eps," &lt; "," ≥ "),FIXED(0,1))</f>
        <v>1,5 ≥ 1,0 &amp;
1,5 ≥ 0,7 &amp;
-1,0 &lt; 0,0</v>
      </c>
      <c r="F12" s="177" t="str">
        <f>CONCATENATE(FIXED(ABS(F28),1),IF(ABS(F28)+eps&lt;ABS($E$30)," &lt; "," ≥ "),FIXED(ABS($E$30),1)," &amp;
",FIXED(ABS(F28),1),IF(ABS(F28)&lt;ABS(F29)," &lt; "," ≥ "),FIXED(ABS(F29),1)," &amp;
",FIXED(F31,1),IF(F31&lt;-eps," &lt; "," ≥ "),FIXED(0,1))</f>
        <v>1,9 ≥ 1,0 &amp;
1,9 ≥ 1,4 &amp;
-0,1 &lt; 0,0</v>
      </c>
      <c r="G12" s="25"/>
      <c r="H12" s="26"/>
      <c r="I12" s="12"/>
      <c r="J12" s="12"/>
    </row>
    <row r="13" spans="1:12" ht="45" customHeight="1" thickBot="1">
      <c r="A13" s="20"/>
      <c r="B13" s="497"/>
      <c r="C13" s="176" t="s">
        <v>193</v>
      </c>
      <c r="D13" s="489"/>
      <c r="E13" s="92" t="str">
        <f>IF(E11="Tiesa","True","False")</f>
        <v>False</v>
      </c>
      <c r="F13" s="106" t="str">
        <f>IF(F11="Tiesa","True","False")</f>
        <v>False</v>
      </c>
      <c r="G13" s="25"/>
      <c r="H13" s="26"/>
      <c r="I13" s="12"/>
      <c r="J13" s="12"/>
    </row>
    <row r="14" spans="1:12" ht="33.75" customHeight="1">
      <c r="A14" s="20"/>
      <c r="B14" s="495" t="s">
        <v>194</v>
      </c>
      <c r="C14" s="485" t="s">
        <v>195</v>
      </c>
      <c r="D14" s="487" t="s">
        <v>196</v>
      </c>
      <c r="E14" s="91" t="str">
        <f>IF((ABS(E28)+eps&lt;ABS($E$30))*(E31&lt;-eps),"Tiesa","Netiesa")</f>
        <v>Netiesa</v>
      </c>
      <c r="F14" s="104" t="str">
        <f>IF((ABS(F28)+eps&lt;ABS($E$30))*(F31&lt;-eps),"Tiesa","Netiesa")</f>
        <v>Netiesa</v>
      </c>
      <c r="I14" s="12"/>
      <c r="J14" s="12"/>
    </row>
    <row r="15" spans="1:12" ht="33" customHeight="1">
      <c r="A15" s="20"/>
      <c r="B15" s="496"/>
      <c r="C15" s="486"/>
      <c r="D15" s="488"/>
      <c r="E15" s="93" t="str">
        <f>CONCATENATE(FIXED(ABS(E28),1),IF(ABS(E28)+eps&lt;ABS($E$30)," &lt; "," ≥ "),FIXED(ABS($E$30),1)," &amp;
",FIXED(E31,1),IF(E31&lt;-eps," &lt; "," ≥ "),FIXED(0,1))</f>
        <v>1,5 ≥ 1,0 &amp;
-1,0 &lt; 0,0</v>
      </c>
      <c r="F15" s="177" t="str">
        <f>CONCATENATE(FIXED(ABS(F28),1),IF(ABS(F28)+eps&lt;ABS($E$30)," &lt; "," ≥ "),FIXED(ABS($E$30),1)," &amp;
",FIXED(F31,1),IF(F31&lt;-eps," &lt; "," ≥ "),FIXED(0,1))</f>
        <v>1,9 ≥ 1,0 &amp;
-0,1 &lt; 0,0</v>
      </c>
    </row>
    <row r="16" spans="1:12" ht="44.25" customHeight="1" thickBot="1">
      <c r="A16" s="20"/>
      <c r="B16" s="497"/>
      <c r="C16" s="176" t="s">
        <v>197</v>
      </c>
      <c r="D16" s="489"/>
      <c r="E16" s="92" t="str">
        <f>IF(E14="Tiesa","True","False")</f>
        <v>False</v>
      </c>
      <c r="F16" s="107" t="str">
        <f>IF(F14="Tiesa","True","False")</f>
        <v>False</v>
      </c>
    </row>
    <row r="17" spans="1:6" ht="34.5" customHeight="1">
      <c r="A17" s="20"/>
      <c r="B17" s="495" t="s">
        <v>198</v>
      </c>
      <c r="C17" s="509" t="s">
        <v>199</v>
      </c>
      <c r="D17" s="482" t="s">
        <v>200</v>
      </c>
      <c r="E17" s="91" t="str">
        <f>IF(($E$32&gt;0),IF((E28&gt;=E29+$E$32),"Tiesa","Netiesa"),"Netaikoma")</f>
        <v>Netaikoma</v>
      </c>
      <c r="F17" s="108" t="str">
        <f>IF(($E$32&gt;0),IF((E28&gt;=E29+$E$32),"Tiesa","Netiesa"),"Netaikoma")</f>
        <v>Netaikoma</v>
      </c>
    </row>
    <row r="18" spans="1:6" ht="15.75" customHeight="1">
      <c r="A18" s="20"/>
      <c r="B18" s="496"/>
      <c r="C18" s="510"/>
      <c r="D18" s="483"/>
      <c r="E18" s="93" t="str">
        <f>IF($E$32=0,"",CONCATENATE(FIXED(E28,1),IF(E28&gt;=E29+$E$32," ≥ "," &lt; "),FIXED(E29,1)," + ",FIXED($E$32,1)," = ",FIXED(E29+$E$32,1)))</f>
        <v/>
      </c>
      <c r="F18" s="177" t="str">
        <f>IF($E$32=0,"",CONCATENATE(FIXED(F28,1),IF(F28&gt;=F29+$E$32," ≥ "," &lt; "),FIXED(F29,1)," + ",FIXED($E$32,1)," = ",FIXED(F29+$E$32,1)))</f>
        <v/>
      </c>
    </row>
    <row r="19" spans="1:6" ht="47.25" customHeight="1" thickBot="1">
      <c r="A19" s="20"/>
      <c r="B19" s="497"/>
      <c r="C19" s="178" t="s">
        <v>201</v>
      </c>
      <c r="D19" s="511"/>
      <c r="E19" s="92" t="str">
        <f>IF(E17="Tiesa","True",IF(E17="Netaikoma","Not applicable","False"))</f>
        <v>Not applicable</v>
      </c>
      <c r="F19" s="107" t="str">
        <f>IF(F17="Tiesa","True",IF(F17="Netaikoma","Not applicable","False"))</f>
        <v>Not applicable</v>
      </c>
    </row>
    <row r="20" spans="1:6" ht="15">
      <c r="A20" s="20"/>
      <c r="B20" s="495" t="s">
        <v>202</v>
      </c>
      <c r="C20" s="480" t="s">
        <v>203</v>
      </c>
      <c r="D20" s="482"/>
      <c r="E20" s="141" t="s">
        <v>204</v>
      </c>
      <c r="F20" s="109" t="s">
        <v>204</v>
      </c>
    </row>
    <row r="21" spans="1:6" ht="43.9" customHeight="1">
      <c r="A21" s="20"/>
      <c r="B21" s="496"/>
      <c r="C21" s="481"/>
      <c r="D21" s="483"/>
      <c r="E21" s="142" t="s">
        <v>49</v>
      </c>
      <c r="F21" s="110" t="s">
        <v>49</v>
      </c>
    </row>
    <row r="22" spans="1:6" ht="21" customHeight="1">
      <c r="A22" s="20"/>
      <c r="B22" s="496"/>
      <c r="C22" s="512" t="s">
        <v>205</v>
      </c>
      <c r="D22" s="483"/>
      <c r="E22" s="148" t="s">
        <v>206</v>
      </c>
      <c r="F22" s="111" t="s">
        <v>206</v>
      </c>
    </row>
    <row r="23" spans="1:6" ht="43.9" customHeight="1" thickBot="1">
      <c r="A23" s="20"/>
      <c r="B23" s="508"/>
      <c r="C23" s="513"/>
      <c r="D23" s="484"/>
      <c r="E23" s="149" t="s">
        <v>44</v>
      </c>
      <c r="F23" s="112" t="s">
        <v>44</v>
      </c>
    </row>
    <row r="24" spans="1:6" ht="15.75" customHeight="1" thickTop="1">
      <c r="A24" s="20"/>
      <c r="B24" s="20"/>
      <c r="C24" s="471" t="s">
        <v>207</v>
      </c>
      <c r="D24" s="471"/>
      <c r="E24" s="471"/>
      <c r="F24" s="471"/>
    </row>
    <row r="25" spans="1:6" ht="15.75" customHeight="1">
      <c r="A25" s="20"/>
      <c r="B25" s="20"/>
      <c r="C25" s="494" t="s">
        <v>208</v>
      </c>
      <c r="D25" s="494"/>
      <c r="E25" s="494"/>
      <c r="F25" s="494"/>
    </row>
    <row r="26" spans="1:6" ht="15" thickBot="1">
      <c r="A26" s="20"/>
      <c r="B26" s="20"/>
      <c r="C26" s="179" t="s">
        <v>209</v>
      </c>
      <c r="D26" s="180"/>
      <c r="E26" s="181"/>
      <c r="F26" s="181"/>
    </row>
    <row r="27" spans="1:6" ht="15.75" thickTop="1" thickBot="1">
      <c r="A27" s="20"/>
      <c r="B27" s="20"/>
      <c r="C27" s="182" t="s">
        <v>210</v>
      </c>
      <c r="D27" s="183" t="s">
        <v>211</v>
      </c>
      <c r="E27" s="472">
        <v>2025</v>
      </c>
      <c r="F27" s="473"/>
    </row>
    <row r="28" spans="1:6" ht="15" thickBot="1">
      <c r="A28" s="20"/>
      <c r="B28" s="20"/>
      <c r="C28" s="20"/>
      <c r="D28" s="183" t="s">
        <v>212</v>
      </c>
      <c r="E28" s="184">
        <f>'3. GGbudget'!F30</f>
        <v>-1.5348787891020055</v>
      </c>
      <c r="F28" s="185">
        <f>'3. GGbudget'!H30</f>
        <v>-1.9075347590529397</v>
      </c>
    </row>
    <row r="29" spans="1:6" ht="15" thickBot="1">
      <c r="A29" s="20"/>
      <c r="B29" s="20"/>
      <c r="C29" s="20"/>
      <c r="D29" s="183" t="s">
        <v>213</v>
      </c>
      <c r="E29" s="184">
        <f>'3. GGbudget'!E30</f>
        <v>-0.70928449213427502</v>
      </c>
      <c r="F29" s="185">
        <f>'3. GGbudget'!G30</f>
        <v>-1.3684743786615947</v>
      </c>
    </row>
    <row r="30" spans="1:6" ht="15" thickBot="1">
      <c r="A30" s="20"/>
      <c r="B30" s="20"/>
      <c r="C30" s="20"/>
      <c r="D30" s="183" t="s">
        <v>214</v>
      </c>
      <c r="E30" s="474">
        <f>'3. GGbudget'!F33</f>
        <v>-1</v>
      </c>
      <c r="F30" s="475"/>
    </row>
    <row r="31" spans="1:6" ht="15" thickBot="1">
      <c r="A31" s="20"/>
      <c r="B31" s="20"/>
      <c r="C31" s="20"/>
      <c r="D31" s="183" t="s">
        <v>215</v>
      </c>
      <c r="E31" s="184">
        <f>'2. Macro'!M20</f>
        <v>-1.0216612779306966</v>
      </c>
      <c r="F31" s="185">
        <f>'2. Macro'!M19</f>
        <v>-8.7686415898280412E-2</v>
      </c>
    </row>
    <row r="32" spans="1:6" ht="15" thickBot="1">
      <c r="A32" s="20"/>
      <c r="B32" s="20"/>
      <c r="C32" s="20"/>
      <c r="D32" s="183" t="s">
        <v>216</v>
      </c>
      <c r="E32" s="478">
        <f>'3. GGbudget'!F34</f>
        <v>0</v>
      </c>
      <c r="F32" s="479"/>
    </row>
    <row r="33" spans="1:9" ht="15.75" thickTop="1" thickBot="1">
      <c r="A33" s="20"/>
      <c r="B33" s="20"/>
      <c r="C33" s="20"/>
      <c r="D33" s="183" t="s">
        <v>61</v>
      </c>
      <c r="E33" s="20"/>
      <c r="F33" s="20"/>
      <c r="G33" s="43" t="s">
        <v>62</v>
      </c>
    </row>
    <row r="34" spans="1:9" ht="15.75" thickTop="1" thickBot="1">
      <c r="A34" s="20"/>
      <c r="B34" s="20"/>
      <c r="C34" s="183"/>
      <c r="D34" s="183" t="s">
        <v>63</v>
      </c>
      <c r="E34" s="426" t="s">
        <v>37</v>
      </c>
      <c r="F34" s="427"/>
      <c r="G34" s="43" t="s">
        <v>64</v>
      </c>
    </row>
    <row r="35" spans="1:9" ht="15" thickBot="1">
      <c r="A35" s="20"/>
      <c r="B35" s="20"/>
      <c r="C35" s="183"/>
      <c r="D35" s="183" t="s">
        <v>217</v>
      </c>
      <c r="E35" s="428" t="s">
        <v>38</v>
      </c>
      <c r="F35" s="429"/>
      <c r="G35" s="37" t="s">
        <v>218</v>
      </c>
    </row>
    <row r="36" spans="1:9" s="8" customFormat="1" ht="15.75" thickTop="1">
      <c r="C36" s="28" t="s">
        <v>219</v>
      </c>
      <c r="D36" s="29" t="s">
        <v>220</v>
      </c>
      <c r="E36" s="38">
        <f>J13*1</f>
        <v>0</v>
      </c>
      <c r="F36" s="30"/>
    </row>
    <row r="37" spans="1:9" s="8" customFormat="1" ht="15">
      <c r="C37" s="28" t="s">
        <v>221</v>
      </c>
      <c r="D37" s="29" t="s">
        <v>222</v>
      </c>
      <c r="E37" s="38">
        <f>J15*1</f>
        <v>0</v>
      </c>
      <c r="F37" s="30"/>
    </row>
    <row r="38" spans="1:9" s="8" customFormat="1" ht="15">
      <c r="C38" s="28" t="s">
        <v>223</v>
      </c>
      <c r="D38" s="29" t="s">
        <v>224</v>
      </c>
      <c r="E38" s="38">
        <f>J17*1</f>
        <v>0</v>
      </c>
      <c r="F38" s="30"/>
      <c r="G38" s="31"/>
    </row>
    <row r="39" spans="1:9" s="8" customFormat="1" ht="15">
      <c r="C39" s="28" t="s">
        <v>225</v>
      </c>
      <c r="D39" s="29" t="s">
        <v>226</v>
      </c>
      <c r="E39" s="38">
        <f>J19*1</f>
        <v>0</v>
      </c>
      <c r="F39" s="30"/>
      <c r="G39" s="31"/>
    </row>
    <row r="40" spans="1:9" s="8" customFormat="1" ht="15">
      <c r="E40" s="38">
        <f>SUM(E36:E39)</f>
        <v>0</v>
      </c>
      <c r="F40" s="30"/>
    </row>
    <row r="41" spans="1:9" ht="15">
      <c r="C41" s="10"/>
      <c r="D41" s="10"/>
      <c r="E41" s="39"/>
      <c r="F41" s="10"/>
      <c r="G41" s="8"/>
      <c r="H41" s="8"/>
      <c r="I41" s="8"/>
    </row>
    <row r="42" spans="1:9">
      <c r="C42" s="10"/>
      <c r="D42" s="10"/>
      <c r="E42" s="10"/>
      <c r="F42" s="10"/>
      <c r="G42" s="8"/>
      <c r="H42" s="8"/>
      <c r="I42" s="8"/>
    </row>
    <row r="43" spans="1:9">
      <c r="C43" s="12"/>
      <c r="D43" s="10"/>
      <c r="E43" s="10"/>
      <c r="F43" s="10"/>
    </row>
    <row r="44" spans="1:9">
      <c r="C44" s="12"/>
      <c r="D44" s="10"/>
      <c r="E44" s="10"/>
      <c r="F44" s="10"/>
    </row>
    <row r="45" spans="1:9">
      <c r="C45" s="12"/>
      <c r="D45" s="12"/>
      <c r="E45" s="12"/>
      <c r="F45" s="12"/>
    </row>
  </sheetData>
  <mergeCells count="31">
    <mergeCell ref="B20:B23"/>
    <mergeCell ref="C17:C18"/>
    <mergeCell ref="D17:D19"/>
    <mergeCell ref="B17:B19"/>
    <mergeCell ref="C14:C15"/>
    <mergeCell ref="D14:D16"/>
    <mergeCell ref="B14:B16"/>
    <mergeCell ref="C22:C23"/>
    <mergeCell ref="B11:B13"/>
    <mergeCell ref="B1:C1"/>
    <mergeCell ref="B3:F3"/>
    <mergeCell ref="E4:F4"/>
    <mergeCell ref="C8:C9"/>
    <mergeCell ref="D8:D10"/>
    <mergeCell ref="B8:B10"/>
    <mergeCell ref="B5:D5"/>
    <mergeCell ref="B6:B7"/>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theme="7"/>
  </sheetPr>
  <dimension ref="A1:K70"/>
  <sheetViews>
    <sheetView showGridLines="0" showRowColHeaders="0" topLeftCell="C37" zoomScale="80" zoomScaleNormal="80" workbookViewId="0">
      <selection activeCell="G34" sqref="G34"/>
    </sheetView>
  </sheetViews>
  <sheetFormatPr defaultColWidth="10" defaultRowHeight="14.25"/>
  <cols>
    <col min="1" max="1" width="3.7109375" style="1" customWidth="1"/>
    <col min="2" max="2" width="5.5703125" style="35" customWidth="1"/>
    <col min="3" max="3" width="100.7109375" style="1" customWidth="1"/>
    <col min="4" max="4" width="14.5703125" style="1" customWidth="1"/>
    <col min="5" max="5" width="25.42578125" style="1" customWidth="1"/>
    <col min="6" max="7" width="17" style="1" customWidth="1"/>
    <col min="8" max="8" width="12" style="1" customWidth="1"/>
    <col min="9" max="16384" width="10" style="1"/>
  </cols>
  <sheetData>
    <row r="1" spans="1:10">
      <c r="A1" s="2"/>
      <c r="B1" s="528" t="s">
        <v>32</v>
      </c>
      <c r="C1" s="528"/>
    </row>
    <row r="2" spans="1:10" ht="15" thickBot="1">
      <c r="A2" s="8" t="s">
        <v>33</v>
      </c>
    </row>
    <row r="3" spans="1:10" ht="39.75" customHeight="1" thickTop="1" thickBot="1">
      <c r="B3" s="499" t="s">
        <v>227</v>
      </c>
      <c r="C3" s="500"/>
      <c r="D3" s="500"/>
      <c r="E3" s="500"/>
      <c r="F3" s="500"/>
      <c r="G3" s="501"/>
    </row>
    <row r="4" spans="1:10" ht="30" customHeight="1" thickBot="1">
      <c r="B4" s="145" t="s">
        <v>228</v>
      </c>
      <c r="C4" s="192" t="s">
        <v>229</v>
      </c>
      <c r="D4" s="529" t="s">
        <v>182</v>
      </c>
      <c r="E4" s="530"/>
      <c r="F4" s="502" t="s">
        <v>183</v>
      </c>
      <c r="G4" s="503"/>
      <c r="H4" s="45"/>
    </row>
    <row r="5" spans="1:10" ht="33.75" customHeight="1" thickBot="1">
      <c r="B5" s="504" t="s">
        <v>184</v>
      </c>
      <c r="C5" s="505"/>
      <c r="D5" s="505"/>
      <c r="E5" s="505"/>
      <c r="F5" s="144" t="s">
        <v>37</v>
      </c>
      <c r="G5" s="103" t="s">
        <v>38</v>
      </c>
      <c r="H5" s="5"/>
      <c r="I5" s="5"/>
      <c r="J5" s="5"/>
    </row>
    <row r="6" spans="1:10" ht="15" customHeight="1">
      <c r="B6" s="506"/>
      <c r="C6" s="186" t="s">
        <v>185</v>
      </c>
      <c r="D6" s="492"/>
      <c r="E6" s="492"/>
      <c r="F6" s="476" t="str">
        <f>"Ne"</f>
        <v>Ne</v>
      </c>
      <c r="G6" s="477"/>
    </row>
    <row r="7" spans="1:10" ht="14.25" customHeight="1" thickBot="1">
      <c r="B7" s="507"/>
      <c r="C7" s="187" t="s">
        <v>40</v>
      </c>
      <c r="D7" s="493"/>
      <c r="E7" s="493"/>
      <c r="F7" s="490" t="str">
        <f>"No"</f>
        <v>No</v>
      </c>
      <c r="G7" s="491"/>
    </row>
    <row r="8" spans="1:10" ht="30" customHeight="1">
      <c r="B8" s="514" t="s">
        <v>230</v>
      </c>
      <c r="C8" s="485" t="s">
        <v>231</v>
      </c>
      <c r="D8" s="487"/>
      <c r="E8" s="487"/>
      <c r="F8" s="130" t="str">
        <f>IF(F51+eps&lt;AVERAGE('2. Macro'!G32:K32)+2,"Tiesa","Netiesa")</f>
        <v>Tiesa</v>
      </c>
      <c r="G8" s="113" t="str">
        <f>IF(F51+eps&lt;AVERAGE('2. Macro'!G32:K32)+2,"Tiesa","Netiesa")</f>
        <v>Tiesa</v>
      </c>
      <c r="H8" s="5"/>
      <c r="I8" s="5"/>
      <c r="J8" s="5"/>
    </row>
    <row r="9" spans="1:10" ht="19.5" customHeight="1">
      <c r="B9" s="515"/>
      <c r="C9" s="486"/>
      <c r="D9" s="488"/>
      <c r="E9" s="488"/>
      <c r="F9" s="133" t="str">
        <f>CONCATENATE(FIXED(F51,1),IF(F8="Tiesa"," &lt; "," ≥ "),FIXED(AVERAGE('2. Macro'!H32:L32)+2,1))</f>
        <v>6,4 &lt; 7,1</v>
      </c>
      <c r="G9" s="114" t="str">
        <f>CONCATENATE(FIXED(G51,1),IF(G8="Tiesa"," &lt; "," ≥ "),FIXED(AVERAGE('2. Macro'!H32:L32)+2,1))</f>
        <v>6,4 &lt; 7,1</v>
      </c>
      <c r="H9" s="5"/>
      <c r="I9" s="5"/>
      <c r="J9" s="5"/>
    </row>
    <row r="10" spans="1:10" ht="34.5" customHeight="1" thickBot="1">
      <c r="B10" s="516"/>
      <c r="C10" s="176" t="s">
        <v>232</v>
      </c>
      <c r="D10" s="489"/>
      <c r="E10" s="489"/>
      <c r="F10" s="138" t="str">
        <f>IF(F8="Tiesa","True","False")</f>
        <v>True</v>
      </c>
      <c r="G10" s="115" t="str">
        <f>IF(G8="Tiesa","True","False")</f>
        <v>True</v>
      </c>
      <c r="H10" s="5"/>
      <c r="I10" s="5"/>
      <c r="J10" s="5"/>
    </row>
    <row r="11" spans="1:10" ht="30" customHeight="1" thickBot="1">
      <c r="B11" s="531" t="s">
        <v>233</v>
      </c>
      <c r="C11" s="517" t="s">
        <v>234</v>
      </c>
      <c r="D11" s="534" t="s">
        <v>235</v>
      </c>
      <c r="E11" s="534"/>
      <c r="F11" s="130" t="str">
        <f>IF('3. GGbudget'!F8&gt;='3. GGbudget'!E8+1,"Tiesa","Netiesa")</f>
        <v>Netiesa</v>
      </c>
      <c r="G11" s="113" t="str">
        <f>IF('3. GGbudget'!H8&gt;='3. GGbudget'!G8+1,"Tiesa","Netiesa")</f>
        <v>Netiesa</v>
      </c>
    </row>
    <row r="12" spans="1:10" ht="15" customHeight="1" thickBot="1">
      <c r="B12" s="532"/>
      <c r="C12" s="518"/>
      <c r="D12" s="535"/>
      <c r="E12" s="535"/>
      <c r="F12" s="133" t="str">
        <f>CONCATENATE(FIXED('3. GGbudget'!F8-'3. GGbudget'!E8,1),IF(F11="Tiesa"," ≥ "," &lt; "),FIXED(1,1))</f>
        <v>-0,5 &lt; 1,0</v>
      </c>
      <c r="G12" s="114" t="str">
        <f>CONCATENATE(FIXED('3. GGbudget'!H8-'3. GGbudget'!G8,1),IF(G11="Tiesa"," ≥ "," &lt; "),FIXED(1,1))</f>
        <v>-0,5 &lt; 1,0</v>
      </c>
    </row>
    <row r="13" spans="1:10" ht="30" customHeight="1" thickBot="1">
      <c r="B13" s="533"/>
      <c r="C13" s="193" t="s">
        <v>236</v>
      </c>
      <c r="D13" s="536"/>
      <c r="E13" s="536"/>
      <c r="F13" s="138" t="str">
        <f>IF(F11="Tiesa","True","False")</f>
        <v>False</v>
      </c>
      <c r="G13" s="115" t="str">
        <f>IF(G11="Tiesa","True","False")</f>
        <v>False</v>
      </c>
    </row>
    <row r="14" spans="1:10" ht="27.75" customHeight="1" thickBot="1">
      <c r="B14" s="531" t="s">
        <v>237</v>
      </c>
      <c r="C14" s="517" t="s">
        <v>238</v>
      </c>
      <c r="D14" s="537"/>
      <c r="E14" s="537"/>
      <c r="F14" s="135" t="str">
        <f>IF(ROUND(AVERAGE('2. Macro'!G36:K36),1)&gt;=0.1,"Tiesa","Netiesa")</f>
        <v>Netiesa</v>
      </c>
      <c r="G14" s="116" t="str">
        <f>IF(ROUND(AVERAGE('2. Macro'!G35:K35),1)&gt;=0.1,"Tiesa","Netiesa")</f>
        <v>Netiesa</v>
      </c>
    </row>
    <row r="15" spans="1:10" ht="15" customHeight="1" thickBot="1">
      <c r="B15" s="532"/>
      <c r="C15" s="518"/>
      <c r="D15" s="538"/>
      <c r="E15" s="538"/>
      <c r="F15" s="139" t="str">
        <f>CONCATENATE(FIXED(AVERAGE('2. Macro'!H36:L36),1),IF(F14="Tiesa"," ≥ "," &lt; "),FIXED(0.1,1))</f>
        <v>-2,0 &lt; 0,1</v>
      </c>
      <c r="G15" s="117" t="str">
        <f>CONCATENATE(FIXED(AVERAGE('2. Macro'!H35:L35),1),IF(G14="Tiesa"," ≥ "," &lt; "),FIXED(0.1,1))</f>
        <v>-2,0 &lt; 0,1</v>
      </c>
    </row>
    <row r="16" spans="1:10" ht="29.25" thickBot="1">
      <c r="B16" s="533"/>
      <c r="C16" s="193" t="s">
        <v>239</v>
      </c>
      <c r="D16" s="539"/>
      <c r="E16" s="539"/>
      <c r="F16" s="140" t="str">
        <f>IF(F14="Tiesa","True","False")</f>
        <v>False</v>
      </c>
      <c r="G16" s="118" t="str">
        <f>IF(G14="Tiesa","True","False")</f>
        <v>False</v>
      </c>
    </row>
    <row r="17" spans="2:8" ht="51.75" customHeight="1">
      <c r="B17" s="514" t="s">
        <v>240</v>
      </c>
      <c r="C17" s="517" t="s">
        <v>241</v>
      </c>
      <c r="D17" s="487" t="s">
        <v>242</v>
      </c>
      <c r="E17" s="487"/>
      <c r="F17" s="130" t="str">
        <f>IF(F57="", "Netaikoma",IF(ROUND(F58,1)&gt;=F57,"Tiesa","Netiesa"))</f>
        <v>Netaikoma</v>
      </c>
      <c r="G17" s="113" t="str">
        <f>IF(F57="", "Netaikoma",IF(ROUND(G58,1)&gt;=G57,"Tiesa","Netiesa"))</f>
        <v>Netaikoma</v>
      </c>
    </row>
    <row r="18" spans="2:8" ht="18.75" customHeight="1">
      <c r="B18" s="515"/>
      <c r="C18" s="518"/>
      <c r="D18" s="488"/>
      <c r="E18" s="488"/>
      <c r="F18" s="139" t="str">
        <f>IF(F17="Netaikoma","",CONCATENATE(FIXED(F58,1),IF(F14="Tiesa"," ≥ "," &lt; "),FIXED(F57,1)))</f>
        <v/>
      </c>
      <c r="G18" s="114" t="str">
        <f>IF(F17="Netaikoma","",CONCATENATE(FIXED(G58,1),IF(G14="Tiesa"," ≥ "," &lt; "),FIXED(G57,1)))</f>
        <v/>
      </c>
    </row>
    <row r="19" spans="2:8" ht="51.75" customHeight="1" thickBot="1">
      <c r="B19" s="516"/>
      <c r="C19" s="176" t="s">
        <v>243</v>
      </c>
      <c r="D19" s="489"/>
      <c r="E19" s="489"/>
      <c r="F19" s="138" t="str">
        <f>IF(F17="Netaikoma","Not applicable",IF(F17="Tiesa","True","False"))</f>
        <v>Not applicable</v>
      </c>
      <c r="G19" s="115" t="str">
        <f>IF(F17="Netaikoma","Not applicable",IF(G17="Tiesa","True","False"))</f>
        <v>Not applicable</v>
      </c>
    </row>
    <row r="20" spans="2:8" ht="44.25" customHeight="1">
      <c r="B20" s="514" t="s">
        <v>244</v>
      </c>
      <c r="C20" s="517" t="s">
        <v>245</v>
      </c>
      <c r="D20" s="487" t="s">
        <v>246</v>
      </c>
      <c r="E20" s="487"/>
      <c r="F20" s="130" t="str">
        <f>IF(F52+eps&lt;0,"Tiesa","Netiesa")</f>
        <v>Tiesa</v>
      </c>
      <c r="G20" s="113" t="str">
        <f>IF(G52+eps&lt;0,"Tiesa","Netiesa")</f>
        <v>Tiesa</v>
      </c>
    </row>
    <row r="21" spans="2:8" ht="20.25" customHeight="1">
      <c r="B21" s="515"/>
      <c r="C21" s="518"/>
      <c r="D21" s="488"/>
      <c r="E21" s="488"/>
      <c r="F21" s="139" t="str">
        <f>CONCATENATE(FIXED(F52,1),IF(F20="Tiesa"," &lt; "," ≥ "),FIXED(0,1))</f>
        <v>-1,0 &lt; 0,0</v>
      </c>
      <c r="G21" s="114" t="str">
        <f>CONCATENATE(FIXED(G52,1),IF(G20="Tiesa"," &lt; "," ≥ "),FIXED(0,1))</f>
        <v>-0,1 &lt; 0,0</v>
      </c>
    </row>
    <row r="22" spans="2:8" ht="48" customHeight="1" thickBot="1">
      <c r="B22" s="516"/>
      <c r="C22" s="176" t="s">
        <v>247</v>
      </c>
      <c r="D22" s="489"/>
      <c r="E22" s="489"/>
      <c r="F22" s="138" t="str">
        <f>IF(F20="Tiesa","True","False")</f>
        <v>True</v>
      </c>
      <c r="G22" s="115" t="str">
        <f>IF(G20="Tiesa","True","False")</f>
        <v>True</v>
      </c>
    </row>
    <row r="23" spans="2:8" ht="21.75" customHeight="1">
      <c r="B23" s="495" t="s">
        <v>248</v>
      </c>
      <c r="C23" s="480" t="s">
        <v>249</v>
      </c>
      <c r="D23" s="492"/>
      <c r="E23" s="492"/>
      <c r="F23" s="141" t="str">
        <f>+IF((OR(F8="Tiesa",F11="Tiesa",F14="Tiesa",F20="Tiesa")),"Taip","Ne")</f>
        <v>Taip</v>
      </c>
      <c r="G23" s="109" t="str">
        <f>+IF((OR(G8="Tiesa",G11="Tiesa",G14="Tiesa",G20="Tiesa")),"Taip","Ne")</f>
        <v>Taip</v>
      </c>
      <c r="H23" s="32"/>
    </row>
    <row r="24" spans="2:8" ht="45.75" customHeight="1">
      <c r="B24" s="496"/>
      <c r="C24" s="481"/>
      <c r="D24" s="524"/>
      <c r="E24" s="524"/>
      <c r="F24" s="142" t="str">
        <f>IF(F23="Taip",CONCATENATE("Susidaro ", IF(F64=1,CONCATENATE(H64," "),""),IF(F65=1,CONCATENATE(H65," "),""),IF(F66=1,CONCATENATE(H66," "),""),IF(F67=1,CONCATENATE(H67," "),""),IF(F68=1,CONCATENATE(H68," "),""),IF(F69=1,"aplinkybė","aplinkybės")),"Išimčių nėra")</f>
        <v>Susidaro A1 A5 aplinkybės</v>
      </c>
      <c r="G24" s="110" t="str">
        <f>IF(G23="Taip",CONCATENATE("Susidaro ", IF(G64=1,CONCATENATE(I64," "),""),IF(G65=1,CONCATENATE(I65," "),""),IF(G66=1,CONCATENATE(I66," "),""),IF(G67=1,CONCATENATE(I67," "),""),IF(G68=1,CONCATENATE(I68," "),""),IF(G69=1,"aplinkybė","aplinkybės")),"Išimčių nėra")</f>
        <v>Susidaro A1 A5 aplinkybės</v>
      </c>
    </row>
    <row r="25" spans="2:8" ht="18" customHeight="1">
      <c r="B25" s="496"/>
      <c r="C25" s="512" t="s">
        <v>250</v>
      </c>
      <c r="D25" s="524"/>
      <c r="E25" s="524"/>
      <c r="F25" s="143" t="str">
        <f>IF(F23="Taip","Yes","No")</f>
        <v>Yes</v>
      </c>
      <c r="G25" s="119" t="str">
        <f>IF(G23="Taip","Yes","No")</f>
        <v>Yes</v>
      </c>
    </row>
    <row r="26" spans="2:8" ht="55.5" customHeight="1" thickBot="1">
      <c r="B26" s="497"/>
      <c r="C26" s="525"/>
      <c r="D26" s="493"/>
      <c r="E26" s="493"/>
      <c r="F26" s="132" t="str">
        <f>IF(F25="Yes",CONCATENATE(IF(F69=1,"Escape clause ","Escape clauses "), IF(F64=1,CONCATENATE(H64," "),""),IF(F65=1,CONCATENATE(H65," "),""),IF(F66=1,CONCATENATE(H66," "),""),IF(F67=1,CONCATENATE(H67," "),""),IF(F68=1,CONCATENATE(H68," "),""),"emerge"),"No escape clauses emerge")</f>
        <v>Escape clauses A1 A5 emerge</v>
      </c>
      <c r="G26" s="120" t="str">
        <f>IF(G25="Yes",CONCATENATE(IF(G69=1,"Escape clause ","Escape clauses "), IF(G64=1,CONCATENATE(I64," "),""),IF(G65=1,CONCATENATE(I65," "),""),IF(G66=1,CONCATENATE(I66," "),""),IF(G67=1,CONCATENATE(I67," "),""),IF(G68=1,CONCATENATE(I68," "),""),"emerge"),"No escape clauses emerge")</f>
        <v>Escape clauses A1 A5 emerge</v>
      </c>
    </row>
    <row r="27" spans="2:8" ht="33.75" customHeight="1" thickBot="1">
      <c r="B27" s="146" t="s">
        <v>251</v>
      </c>
      <c r="C27" s="147" t="s">
        <v>252</v>
      </c>
      <c r="D27" s="521" t="s">
        <v>253</v>
      </c>
      <c r="E27" s="522"/>
      <c r="F27" s="519" t="s">
        <v>254</v>
      </c>
      <c r="G27" s="520"/>
      <c r="H27" s="33"/>
    </row>
    <row r="28" spans="2:8" ht="32.25" customHeight="1">
      <c r="B28" s="495" t="s">
        <v>255</v>
      </c>
      <c r="C28" s="523" t="s">
        <v>256</v>
      </c>
      <c r="D28" s="194"/>
      <c r="E28" s="195"/>
      <c r="F28" s="136" t="str">
        <f>IF((F23="Taip"),"",IF(AVERAGE('2. Macro'!G36:K36)+eps&lt;0,"Tiesa","Netiesa"))</f>
        <v/>
      </c>
      <c r="G28" s="121" t="str">
        <f>IF((G23="Taip"),"",IF(AVERAGE('2. Macro'!G35:K35)+eps&lt;0,"Tiesa","Netiesa"))</f>
        <v/>
      </c>
    </row>
    <row r="29" spans="2:8" ht="15.75" customHeight="1">
      <c r="B29" s="496"/>
      <c r="C29" s="523"/>
      <c r="D29" s="78" t="s">
        <v>257</v>
      </c>
      <c r="E29" s="196"/>
      <c r="F29" s="93" t="str">
        <f>IF((F23="Taip"),"",CONCATENATE(FIXED(AVERAGE('2. Macro'!G36:K36),1),IF(F28="Tiesa"," &lt; "," ≥ "),FIXED(0,1)))</f>
        <v/>
      </c>
      <c r="G29" s="122" t="str">
        <f>IF((G23="Taip"),"",CONCATENATE(FIXED(AVERAGE('2. Macro'!G35:K35),1),IF(G28="Tiesa"," &lt; "," ≥ "),FIXED(0,1)))</f>
        <v/>
      </c>
    </row>
    <row r="30" spans="2:8" ht="18" customHeight="1">
      <c r="B30" s="496"/>
      <c r="C30" s="523"/>
      <c r="D30" s="78"/>
      <c r="E30" s="196"/>
      <c r="F30" s="137" t="str">
        <f>IF(F25="Yes","",IF(F28="Tiesa","True","False"))</f>
        <v/>
      </c>
      <c r="G30" s="123" t="str">
        <f>IF(G25="Yes","",IF(G28="Tiesa","True","False"))</f>
        <v/>
      </c>
    </row>
    <row r="31" spans="2:8" ht="24" customHeight="1">
      <c r="B31" s="496"/>
      <c r="C31" s="523"/>
      <c r="D31" s="194"/>
      <c r="E31" s="195"/>
      <c r="F31" s="378" t="str">
        <f>IF(OR(F23="Taip",F28="Netiesa",F6="Taip"),"Netaikoma", IF(F53&lt;=(F54)*(0.5*F56),"Tenkinama","Netenkinama"))</f>
        <v>Netaikoma</v>
      </c>
      <c r="G31" s="379" t="str">
        <f>IF(OR(G23="Taip",G28="Netiesa",F6="Taip"),"Netaikoma", IF(G53&lt;=(G54)*(0.5*G56),"Tenkinama","Netenkinama"))</f>
        <v>Netaikoma</v>
      </c>
    </row>
    <row r="32" spans="2:8" ht="69" customHeight="1">
      <c r="B32" s="496"/>
      <c r="C32" s="523"/>
      <c r="D32" s="78"/>
      <c r="E32" s="196"/>
      <c r="F32" s="380" t="s">
        <v>49</v>
      </c>
      <c r="G32" s="381" t="s">
        <v>49</v>
      </c>
    </row>
    <row r="33" spans="2:11" ht="21" customHeight="1">
      <c r="B33" s="496"/>
      <c r="C33" s="526" t="s">
        <v>258</v>
      </c>
      <c r="D33" s="78"/>
      <c r="E33" s="196"/>
      <c r="F33" s="382" t="s">
        <v>206</v>
      </c>
      <c r="G33" s="383" t="s">
        <v>206</v>
      </c>
    </row>
    <row r="34" spans="2:11" ht="70.5" customHeight="1">
      <c r="B34" s="508"/>
      <c r="C34" s="527"/>
      <c r="D34" s="197"/>
      <c r="E34" s="198"/>
      <c r="F34" s="384" t="s">
        <v>44</v>
      </c>
      <c r="G34" s="385" t="s">
        <v>44</v>
      </c>
    </row>
    <row r="35" spans="2:11" ht="28.5" customHeight="1">
      <c r="B35" s="55"/>
      <c r="C35" s="471" t="s">
        <v>259</v>
      </c>
      <c r="D35" s="471"/>
      <c r="E35" s="471"/>
      <c r="F35" s="199"/>
      <c r="G35" s="199"/>
    </row>
    <row r="36" spans="2:11" ht="28.5" customHeight="1">
      <c r="B36" s="55"/>
      <c r="C36" s="494" t="s">
        <v>260</v>
      </c>
      <c r="D36" s="494"/>
      <c r="E36" s="494"/>
      <c r="F36" s="199"/>
      <c r="G36" s="199"/>
    </row>
    <row r="37" spans="2:11" ht="18.75" customHeight="1" thickBot="1">
      <c r="B37" s="55"/>
      <c r="C37" s="179" t="s">
        <v>261</v>
      </c>
      <c r="D37" s="200"/>
      <c r="E37" s="200"/>
      <c r="F37" s="199"/>
      <c r="G37" s="199"/>
    </row>
    <row r="38" spans="2:11" ht="15" customHeight="1" thickTop="1" thickBot="1">
      <c r="B38" s="55"/>
      <c r="C38" s="182" t="s">
        <v>262</v>
      </c>
      <c r="D38" s="199"/>
      <c r="E38" s="20"/>
      <c r="F38" s="545">
        <v>2025</v>
      </c>
      <c r="G38" s="546"/>
    </row>
    <row r="39" spans="2:11" ht="15.75" thickBot="1">
      <c r="B39" s="55"/>
      <c r="C39" s="201"/>
      <c r="D39" s="199"/>
      <c r="E39" s="183" t="s">
        <v>263</v>
      </c>
      <c r="F39" s="258">
        <f>'3. GGbudget'!F21</f>
        <v>30494.3</v>
      </c>
      <c r="G39" s="259">
        <f>'3. GGbudget'!H21</f>
        <v>30494.3</v>
      </c>
      <c r="H39" s="54"/>
    </row>
    <row r="40" spans="2:11" ht="15" customHeight="1" thickBot="1">
      <c r="B40" s="55"/>
      <c r="C40" s="199"/>
      <c r="D40" s="199"/>
      <c r="E40" s="183" t="s">
        <v>264</v>
      </c>
      <c r="F40" s="258">
        <f>'3. GGbudget'!E21</f>
        <v>25837.599999999999</v>
      </c>
      <c r="G40" s="259">
        <f>'3. GGbudget'!G21</f>
        <v>25837.599999999999</v>
      </c>
      <c r="H40" s="54"/>
    </row>
    <row r="41" spans="2:11" ht="15" thickBot="1">
      <c r="B41" s="55"/>
      <c r="C41" s="199"/>
      <c r="D41" s="199"/>
      <c r="E41" s="183" t="s">
        <v>265</v>
      </c>
      <c r="F41" s="551">
        <v>2819.07</v>
      </c>
      <c r="G41" s="552"/>
      <c r="H41" s="36"/>
    </row>
    <row r="42" spans="2:11" ht="15" thickBot="1">
      <c r="B42" s="55"/>
      <c r="C42" s="199"/>
      <c r="D42" s="199"/>
      <c r="E42" s="183" t="s">
        <v>266</v>
      </c>
      <c r="F42" s="551">
        <v>2213.8000000000002</v>
      </c>
      <c r="G42" s="552"/>
      <c r="H42" s="36"/>
    </row>
    <row r="43" spans="2:11" ht="15" thickBot="1">
      <c r="B43" s="55"/>
      <c r="C43" s="180"/>
      <c r="D43" s="202"/>
      <c r="E43" s="183" t="s">
        <v>267</v>
      </c>
      <c r="F43" s="260">
        <f>'3. GGbudget'!F15</f>
        <v>34738.5</v>
      </c>
      <c r="G43" s="259">
        <f>'3. GGbudget'!H15</f>
        <v>34738.5</v>
      </c>
      <c r="H43" s="36"/>
    </row>
    <row r="44" spans="2:11" ht="15" thickBot="1">
      <c r="B44" s="55"/>
      <c r="C44" s="180"/>
      <c r="D44" s="202"/>
      <c r="E44" s="183" t="s">
        <v>268</v>
      </c>
      <c r="F44" s="260">
        <f>'3. GGbudget'!E15</f>
        <v>31136.9</v>
      </c>
      <c r="G44" s="259">
        <f>'3. GGbudget'!G15</f>
        <v>31136.9</v>
      </c>
      <c r="H44" s="36"/>
    </row>
    <row r="45" spans="2:11" ht="15" thickBot="1">
      <c r="B45" s="55"/>
      <c r="C45" s="180"/>
      <c r="D45" s="202"/>
      <c r="E45" s="183" t="s">
        <v>269</v>
      </c>
      <c r="F45" s="258">
        <f>'2. Macro'!L36-'2. Macro'!K36</f>
        <v>-0.61755728701333246</v>
      </c>
      <c r="G45" s="158">
        <f>'2. Macro'!L35-'2. Macro'!K35</f>
        <v>-0.61755728701333246</v>
      </c>
    </row>
    <row r="46" spans="2:11" ht="15" thickBot="1">
      <c r="B46" s="55"/>
      <c r="C46" s="203"/>
      <c r="D46" s="202"/>
      <c r="E46" s="183" t="s">
        <v>270</v>
      </c>
      <c r="F46" s="258">
        <f>('2. Macro'!L36-'2. Macro'!K36)-('2. Macro'!K36-'2. Macro'!J36)</f>
        <v>-0.6718506511183393</v>
      </c>
      <c r="G46" s="158">
        <f>('2. Macro'!L35-'2. Macro'!K35)-('2. Macro'!K35-'2. Macro'!J35)</f>
        <v>-0.6718506511183393</v>
      </c>
    </row>
    <row r="47" spans="2:11" ht="15" customHeight="1" thickBot="1">
      <c r="B47" s="55"/>
      <c r="C47" s="204" t="s">
        <v>271</v>
      </c>
      <c r="D47" s="202"/>
      <c r="E47" s="204" t="s">
        <v>272</v>
      </c>
      <c r="F47" s="547">
        <v>1.0349999999999999</v>
      </c>
      <c r="G47" s="548"/>
      <c r="I47" s="553" t="s">
        <v>273</v>
      </c>
      <c r="J47" s="553"/>
      <c r="K47" s="553"/>
    </row>
    <row r="48" spans="2:11" ht="15" customHeight="1" thickBot="1">
      <c r="B48" s="55"/>
      <c r="C48" s="204" t="s">
        <v>274</v>
      </c>
      <c r="D48" s="202"/>
      <c r="E48" s="204" t="s">
        <v>275</v>
      </c>
      <c r="F48" s="547">
        <v>1.0369999999999999</v>
      </c>
      <c r="G48" s="548"/>
      <c r="I48" s="553" t="s">
        <v>276</v>
      </c>
      <c r="J48" s="553"/>
      <c r="K48" s="553"/>
    </row>
    <row r="49" spans="2:11" ht="15" customHeight="1" thickBot="1">
      <c r="B49" s="55"/>
      <c r="C49" s="204" t="s">
        <v>277</v>
      </c>
      <c r="D49" s="202"/>
      <c r="E49" s="204" t="s">
        <v>278</v>
      </c>
      <c r="F49" s="549">
        <v>1.0349999999999999</v>
      </c>
      <c r="G49" s="550"/>
      <c r="I49" s="553" t="s">
        <v>279</v>
      </c>
      <c r="J49" s="553"/>
      <c r="K49" s="553"/>
    </row>
    <row r="50" spans="2:11" ht="15" customHeight="1" thickBot="1">
      <c r="B50" s="55"/>
      <c r="C50" s="204" t="s">
        <v>280</v>
      </c>
      <c r="D50" s="202"/>
      <c r="E50" s="204" t="s">
        <v>281</v>
      </c>
      <c r="F50" s="549">
        <v>1.036</v>
      </c>
      <c r="G50" s="550"/>
      <c r="I50" s="553" t="s">
        <v>282</v>
      </c>
      <c r="J50" s="553"/>
      <c r="K50" s="553"/>
    </row>
    <row r="51" spans="2:11" ht="15" customHeight="1" thickBot="1">
      <c r="B51" s="55"/>
      <c r="C51" s="205" t="s">
        <v>283</v>
      </c>
      <c r="D51" s="202"/>
      <c r="E51" s="204" t="s">
        <v>284</v>
      </c>
      <c r="F51" s="258">
        <f>'2. Macro'!M9</f>
        <v>6.411700815988608</v>
      </c>
      <c r="G51" s="258">
        <f>'2. Macro'!M9</f>
        <v>6.411700815988608</v>
      </c>
      <c r="H51" s="52"/>
      <c r="I51" s="553" t="s">
        <v>285</v>
      </c>
      <c r="J51" s="553"/>
      <c r="K51" s="553"/>
    </row>
    <row r="52" spans="2:11" ht="15" customHeight="1" thickBot="1">
      <c r="B52" s="55"/>
      <c r="C52" s="20"/>
      <c r="D52" s="202"/>
      <c r="E52" s="183" t="s">
        <v>286</v>
      </c>
      <c r="F52" s="258">
        <f>'2. Macro'!M20</f>
        <v>-1.0216612779306966</v>
      </c>
      <c r="G52" s="158">
        <f>'2. Macro'!M19</f>
        <v>-8.7686415898280412E-2</v>
      </c>
    </row>
    <row r="53" spans="2:11" ht="15" customHeight="1" thickBot="1">
      <c r="B53" s="55"/>
      <c r="C53" s="20"/>
      <c r="D53" s="183"/>
      <c r="E53" s="183" t="s">
        <v>287</v>
      </c>
      <c r="F53" s="261">
        <f>F39-F41</f>
        <v>27675.23</v>
      </c>
      <c r="G53" s="262">
        <f>+G39-F41</f>
        <v>27675.23</v>
      </c>
      <c r="H53" s="54"/>
      <c r="I53" s="52"/>
    </row>
    <row r="54" spans="2:11" ht="15" customHeight="1" thickBot="1">
      <c r="B54" s="55"/>
      <c r="C54" s="20"/>
      <c r="D54" s="183"/>
      <c r="E54" s="183" t="s">
        <v>288</v>
      </c>
      <c r="F54" s="261">
        <f>F40-F42</f>
        <v>23623.8</v>
      </c>
      <c r="G54" s="262">
        <f>+G40-$F$42</f>
        <v>23623.8</v>
      </c>
      <c r="H54" s="36"/>
      <c r="I54" s="52"/>
    </row>
    <row r="55" spans="2:11" ht="15" customHeight="1" thickBot="1">
      <c r="B55" s="55"/>
      <c r="C55" s="20"/>
      <c r="D55" s="183"/>
      <c r="E55" s="183" t="s">
        <v>289</v>
      </c>
      <c r="F55" s="261">
        <f>+(F53/F54-1)*100</f>
        <v>17.149781152905131</v>
      </c>
      <c r="G55" s="262">
        <f>+(G53/G54-1)*100</f>
        <v>17.149781152905131</v>
      </c>
      <c r="H55" s="36"/>
      <c r="I55" s="44"/>
    </row>
    <row r="56" spans="2:11" s="8" customFormat="1" ht="19.5" thickBot="1">
      <c r="B56" s="55"/>
      <c r="C56" s="20"/>
      <c r="D56" s="183"/>
      <c r="E56" s="183" t="s">
        <v>290</v>
      </c>
      <c r="F56" s="263">
        <f>(POWER('2. Macro'!O16/'2. Macro'!E16,0.1)*POWER(PRODUCT(F47:F50),0.25)-1)*100</f>
        <v>7.0615495065777134</v>
      </c>
      <c r="G56" s="264">
        <f>(POWER('2. Macro'!O15/'2. Macro'!E15,0.1)*POWER(PRODUCT(F47:F50),0.25)-1)*100</f>
        <v>6.9411284411986518</v>
      </c>
      <c r="H56" s="36"/>
      <c r="I56" s="52"/>
    </row>
    <row r="57" spans="2:11" s="8" customFormat="1" ht="15" hidden="1" thickBot="1">
      <c r="B57" s="55"/>
      <c r="C57" s="20"/>
      <c r="D57" s="183"/>
      <c r="E57" s="183" t="s">
        <v>291</v>
      </c>
      <c r="F57" s="206"/>
      <c r="G57" s="207"/>
      <c r="H57" s="44"/>
      <c r="I57" s="44"/>
    </row>
    <row r="58" spans="2:11" s="8" customFormat="1" ht="15" hidden="1" thickBot="1">
      <c r="B58" s="55"/>
      <c r="C58" s="20"/>
      <c r="D58" s="183"/>
      <c r="E58" s="183" t="s">
        <v>292</v>
      </c>
      <c r="F58" s="208"/>
      <c r="G58" s="209"/>
      <c r="H58" s="44"/>
    </row>
    <row r="59" spans="2:11" s="8" customFormat="1" ht="15" thickTop="1">
      <c r="B59" s="55"/>
      <c r="C59" s="20"/>
      <c r="D59" s="183"/>
      <c r="E59" s="183"/>
      <c r="F59" s="210"/>
      <c r="G59" s="210"/>
    </row>
    <row r="60" spans="2:11" s="8" customFormat="1" ht="15" thickBot="1">
      <c r="B60" s="55"/>
      <c r="C60" s="20"/>
      <c r="D60" s="183"/>
      <c r="E60" s="183" t="s">
        <v>61</v>
      </c>
      <c r="F60" s="183"/>
      <c r="G60" s="211"/>
      <c r="H60" s="43" t="s">
        <v>62</v>
      </c>
    </row>
    <row r="61" spans="2:11" s="8" customFormat="1" ht="15.75" thickTop="1" thickBot="1">
      <c r="B61" s="55"/>
      <c r="C61" s="20"/>
      <c r="D61" s="183"/>
      <c r="E61" s="183" t="s">
        <v>63</v>
      </c>
      <c r="F61" s="540" t="s">
        <v>37</v>
      </c>
      <c r="G61" s="541"/>
      <c r="H61" s="43" t="s">
        <v>64</v>
      </c>
    </row>
    <row r="62" spans="2:11" s="8" customFormat="1" ht="15" thickBot="1">
      <c r="B62" s="55"/>
      <c r="C62" s="20"/>
      <c r="D62" s="183"/>
      <c r="E62" s="183" t="s">
        <v>217</v>
      </c>
      <c r="F62" s="542" t="s">
        <v>38</v>
      </c>
      <c r="G62" s="464"/>
      <c r="H62" s="37" t="s">
        <v>218</v>
      </c>
    </row>
    <row r="63" spans="2:11" s="8" customFormat="1" ht="15" thickBot="1">
      <c r="B63" s="55"/>
      <c r="C63" s="20"/>
      <c r="D63" s="183"/>
      <c r="E63" s="183" t="s">
        <v>293</v>
      </c>
      <c r="F63" s="543" t="s">
        <v>294</v>
      </c>
      <c r="G63" s="544"/>
      <c r="H63" s="43" t="s">
        <v>295</v>
      </c>
    </row>
    <row r="64" spans="2:11" s="8" customFormat="1" ht="15" thickTop="1">
      <c r="B64" s="212"/>
      <c r="C64" s="191"/>
      <c r="D64" s="213" t="s">
        <v>296</v>
      </c>
      <c r="E64" s="213"/>
      <c r="F64" s="214">
        <f>IF(F8="Tiesa",1,0)</f>
        <v>1</v>
      </c>
      <c r="G64" s="214">
        <f>IF(G8="Tiesa",1,0)</f>
        <v>1</v>
      </c>
      <c r="H64" s="41" t="str">
        <f>IF(F64=1,$D64,"")</f>
        <v>A1</v>
      </c>
      <c r="I64" s="41" t="str">
        <f>IF(G64=1,$D64,"")</f>
        <v>A1</v>
      </c>
    </row>
    <row r="65" spans="2:9">
      <c r="B65" s="212"/>
      <c r="C65" s="191"/>
      <c r="D65" s="213" t="s">
        <v>297</v>
      </c>
      <c r="E65" s="213"/>
      <c r="F65" s="214">
        <f>IF(F11="Tiesa",1,0)</f>
        <v>0</v>
      </c>
      <c r="G65" s="214">
        <f>IF(G11="Tiesa",1,0)</f>
        <v>0</v>
      </c>
      <c r="H65" s="41" t="str">
        <f>IF(F65=1,$D65,"")</f>
        <v/>
      </c>
      <c r="I65" s="41" t="str">
        <f t="shared" ref="H65:I68" si="0">IF(G65=1,$D65,"")</f>
        <v/>
      </c>
    </row>
    <row r="66" spans="2:9" ht="14.25" customHeight="1">
      <c r="B66" s="55"/>
      <c r="C66" s="215"/>
      <c r="D66" s="213" t="s">
        <v>298</v>
      </c>
      <c r="E66" s="213"/>
      <c r="F66" s="214">
        <f>IF(F14="Tiesa",1,0)</f>
        <v>0</v>
      </c>
      <c r="G66" s="214">
        <f>IF(G14="Tiesa",1,0)</f>
        <v>0</v>
      </c>
      <c r="H66" s="41" t="str">
        <f>IF(F66=1,$D66,"")</f>
        <v/>
      </c>
      <c r="I66" s="41" t="str">
        <f t="shared" si="0"/>
        <v/>
      </c>
    </row>
    <row r="67" spans="2:9">
      <c r="D67" s="41" t="s">
        <v>299</v>
      </c>
      <c r="E67" s="41"/>
      <c r="F67" s="46">
        <f>IF(F17="Tiesa",1,0)</f>
        <v>0</v>
      </c>
      <c r="G67" s="46">
        <f>IF(G17="Tiesa",1,0)</f>
        <v>0</v>
      </c>
      <c r="H67" s="41" t="str">
        <f t="shared" si="0"/>
        <v/>
      </c>
      <c r="I67" s="41" t="str">
        <f t="shared" si="0"/>
        <v/>
      </c>
    </row>
    <row r="68" spans="2:9">
      <c r="D68" s="41" t="s">
        <v>300</v>
      </c>
      <c r="E68" s="41"/>
      <c r="F68" s="46">
        <f>IF(F20="Tiesa",1,0)</f>
        <v>1</v>
      </c>
      <c r="G68" s="46">
        <f>IF(G20="Tiesa",1,0)</f>
        <v>1</v>
      </c>
      <c r="H68" s="41" t="str">
        <f t="shared" si="0"/>
        <v>A5</v>
      </c>
      <c r="I68" s="41" t="str">
        <f>IF(G68=1,$D68,"")</f>
        <v>A5</v>
      </c>
    </row>
    <row r="69" spans="2:9">
      <c r="D69" s="41"/>
      <c r="E69" s="41"/>
      <c r="F69" s="46">
        <f>SUM(F64:F68)</f>
        <v>2</v>
      </c>
      <c r="G69" s="46">
        <f>SUM(G64:G68)</f>
        <v>2</v>
      </c>
      <c r="H69" s="41"/>
      <c r="I69" s="41"/>
    </row>
    <row r="70" spans="2:9">
      <c r="D70" s="41"/>
      <c r="E70" s="41"/>
      <c r="F70" s="41"/>
      <c r="G70" s="41"/>
      <c r="H70" s="41"/>
      <c r="I70" s="41"/>
    </row>
  </sheetData>
  <mergeCells count="50">
    <mergeCell ref="I47:K47"/>
    <mergeCell ref="I48:K48"/>
    <mergeCell ref="I49:K49"/>
    <mergeCell ref="I50:K50"/>
    <mergeCell ref="I51:K51"/>
    <mergeCell ref="F61:G61"/>
    <mergeCell ref="F62:G62"/>
    <mergeCell ref="F63:G63"/>
    <mergeCell ref="F38:G38"/>
    <mergeCell ref="F48:G48"/>
    <mergeCell ref="F49:G49"/>
    <mergeCell ref="F50:G50"/>
    <mergeCell ref="F47:G47"/>
    <mergeCell ref="F41:G41"/>
    <mergeCell ref="F42:G42"/>
    <mergeCell ref="C36:E36"/>
    <mergeCell ref="C8:C9"/>
    <mergeCell ref="C35:E35"/>
    <mergeCell ref="B1:C1"/>
    <mergeCell ref="B3:G3"/>
    <mergeCell ref="D4:E4"/>
    <mergeCell ref="F4:G4"/>
    <mergeCell ref="D8:E10"/>
    <mergeCell ref="B8:B10"/>
    <mergeCell ref="B11:B13"/>
    <mergeCell ref="D11:E13"/>
    <mergeCell ref="B14:B16"/>
    <mergeCell ref="D14:E16"/>
    <mergeCell ref="C11:C12"/>
    <mergeCell ref="C14:C15"/>
    <mergeCell ref="B5:E5"/>
    <mergeCell ref="C28:C32"/>
    <mergeCell ref="B23:B26"/>
    <mergeCell ref="D23:E26"/>
    <mergeCell ref="C23:C24"/>
    <mergeCell ref="C25:C26"/>
    <mergeCell ref="B28:B34"/>
    <mergeCell ref="C33:C34"/>
    <mergeCell ref="C20:C21"/>
    <mergeCell ref="D20:E22"/>
    <mergeCell ref="B20:B22"/>
    <mergeCell ref="C17:C18"/>
    <mergeCell ref="F27:G27"/>
    <mergeCell ref="D27:E27"/>
    <mergeCell ref="B6:B7"/>
    <mergeCell ref="D6:E7"/>
    <mergeCell ref="F6:G6"/>
    <mergeCell ref="F7:G7"/>
    <mergeCell ref="B17:B19"/>
    <mergeCell ref="D17:E19"/>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F9:F10</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F11:F13</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F14:F15</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G11:G12</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G14:G15</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G18:G19</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theme="7"/>
  </sheetPr>
  <dimension ref="A1:H34"/>
  <sheetViews>
    <sheetView showGridLines="0" showRowColHeaders="0" topLeftCell="A30" zoomScaleNormal="100" workbookViewId="0">
      <selection activeCell="E17" sqref="E17"/>
    </sheetView>
  </sheetViews>
  <sheetFormatPr defaultColWidth="10" defaultRowHeight="14.25"/>
  <cols>
    <col min="1" max="1" width="3.7109375" style="1" customWidth="1"/>
    <col min="2" max="2" width="4.42578125" style="1" customWidth="1"/>
    <col min="3" max="3" width="102" style="1" customWidth="1"/>
    <col min="4" max="4" width="28.28515625" style="1" customWidth="1"/>
    <col min="5" max="5" width="21.140625" style="1" customWidth="1"/>
    <col min="6" max="6" width="21.5703125" style="1" customWidth="1"/>
    <col min="7" max="16384" width="10" style="1"/>
  </cols>
  <sheetData>
    <row r="1" spans="1:6">
      <c r="B1" s="528" t="s">
        <v>32</v>
      </c>
      <c r="C1" s="528"/>
      <c r="D1" s="2"/>
    </row>
    <row r="2" spans="1:6" ht="15" thickBot="1">
      <c r="A2" s="8" t="s">
        <v>33</v>
      </c>
    </row>
    <row r="3" spans="1:6" ht="38.25" customHeight="1" thickTop="1" thickBot="1">
      <c r="B3" s="499" t="s">
        <v>301</v>
      </c>
      <c r="C3" s="500"/>
      <c r="D3" s="500"/>
      <c r="E3" s="500"/>
      <c r="F3" s="501"/>
    </row>
    <row r="4" spans="1:6" ht="43.5" thickBot="1">
      <c r="B4" s="161" t="s">
        <v>302</v>
      </c>
      <c r="C4" s="162" t="s">
        <v>303</v>
      </c>
      <c r="D4" s="162" t="s">
        <v>304</v>
      </c>
      <c r="E4" s="554" t="s">
        <v>305</v>
      </c>
      <c r="F4" s="555"/>
    </row>
    <row r="5" spans="1:6" ht="30" customHeight="1" thickBot="1">
      <c r="B5" s="504" t="s">
        <v>184</v>
      </c>
      <c r="C5" s="505"/>
      <c r="D5" s="505"/>
      <c r="E5" s="129" t="s">
        <v>37</v>
      </c>
      <c r="F5" s="124" t="s">
        <v>38</v>
      </c>
    </row>
    <row r="6" spans="1:6" ht="29.25" customHeight="1">
      <c r="A6" s="61"/>
      <c r="B6" s="496" t="s">
        <v>306</v>
      </c>
      <c r="C6" s="568" t="s">
        <v>307</v>
      </c>
      <c r="D6" s="574" t="s">
        <v>308</v>
      </c>
      <c r="E6" s="130" t="str">
        <f>IF(E24&gt;=0,"Tiesa","Netiesa")</f>
        <v>Netiesa</v>
      </c>
      <c r="F6" s="113" t="str">
        <f>IF(F24+eps&gt;=0,"Tiesa","Netiesa")</f>
        <v>Netiesa</v>
      </c>
    </row>
    <row r="7" spans="1:6" ht="29.25" customHeight="1">
      <c r="A7" s="61"/>
      <c r="B7" s="496"/>
      <c r="C7" s="569"/>
      <c r="D7" s="575"/>
      <c r="E7" s="93" t="str">
        <f>CONCATENATE(FIXED(E24,1),IF(E24&gt;= 0," ≥ "," &lt; "),FIXED(0,1))</f>
        <v>-0,1 &lt; 0,0</v>
      </c>
      <c r="F7" s="125" t="str">
        <f>CONCATENATE(FIXED(F24,1),IF(F24=eps&gt;= 0," ≥ "," &lt; "),FIXED(0,1))</f>
        <v>-0,1 ≥ 0,0</v>
      </c>
    </row>
    <row r="8" spans="1:6" ht="35.25" customHeight="1" thickBot="1">
      <c r="A8" s="61"/>
      <c r="B8" s="496"/>
      <c r="C8" s="86" t="s">
        <v>309</v>
      </c>
      <c r="D8" s="576"/>
      <c r="E8" s="92" t="str">
        <f>IF(E6="Tiesa","True","False")</f>
        <v>False</v>
      </c>
      <c r="F8" s="115" t="str">
        <f>IF(F6="Tiesa","True","False")</f>
        <v>False</v>
      </c>
    </row>
    <row r="9" spans="1:6" ht="21.75" customHeight="1">
      <c r="A9" s="61"/>
      <c r="B9" s="496"/>
      <c r="C9" s="577" t="s">
        <v>310</v>
      </c>
      <c r="D9" s="578"/>
      <c r="E9" s="131" t="str">
        <f>IF(E6="Netiesa","Netenkinama","Tenkinama")</f>
        <v>Netenkinama</v>
      </c>
      <c r="F9" s="126" t="str">
        <f>IF(F6="Netiesa","Netenkinama","Tenkinama")</f>
        <v>Netenkinama</v>
      </c>
    </row>
    <row r="10" spans="1:6" ht="21.75" customHeight="1" thickBot="1">
      <c r="A10" s="61"/>
      <c r="B10" s="497"/>
      <c r="C10" s="570" t="s">
        <v>311</v>
      </c>
      <c r="D10" s="571"/>
      <c r="E10" s="132" t="str">
        <f>IF(E9="Tenkinama","Valid","Invalid ")</f>
        <v xml:space="preserve">Invalid </v>
      </c>
      <c r="F10" s="127" t="str">
        <f>IF(F9="Tenkinama","Valid","Invalid ")</f>
        <v xml:space="preserve">Invalid </v>
      </c>
    </row>
    <row r="11" spans="1:6" ht="17.45" customHeight="1">
      <c r="A11" s="61"/>
      <c r="B11" s="496" t="s">
        <v>312</v>
      </c>
      <c r="C11" s="572" t="s">
        <v>313</v>
      </c>
      <c r="D11" s="476" t="s">
        <v>314</v>
      </c>
      <c r="E11" s="130" t="str">
        <f>IF(E21+eps&lt;0, "Tiesa","Netiesa")</f>
        <v>Tiesa</v>
      </c>
      <c r="F11" s="113" t="str">
        <f>IF(F21+eps&lt;0,"Tiesa","Netiesa")</f>
        <v>Tiesa</v>
      </c>
    </row>
    <row r="12" spans="1:6" ht="38.25" customHeight="1">
      <c r="A12" s="61"/>
      <c r="B12" s="496"/>
      <c r="C12" s="573"/>
      <c r="D12" s="560"/>
      <c r="E12" s="133" t="str">
        <f>CONCATENATE(FIXED(E21,1),IF(E21+eps&lt;0," &lt; "," ≥ "),FIXED(0,1))</f>
        <v>-1,0 &lt; 0,0</v>
      </c>
      <c r="F12" s="114" t="str">
        <f>CONCATENATE(FIXED(F21,1),IF(F21+eps&lt;0," &lt; "," ≥ "),FIXED(0,1))</f>
        <v>-0,1 &lt; 0,0</v>
      </c>
    </row>
    <row r="13" spans="1:6" ht="21" customHeight="1" thickBot="1">
      <c r="A13" s="61"/>
      <c r="B13" s="496"/>
      <c r="C13" s="573"/>
      <c r="D13" s="560"/>
      <c r="E13" s="134" t="str">
        <f>IF(E11="Tiesa","True","False")</f>
        <v>True</v>
      </c>
      <c r="F13" s="128" t="str">
        <f>IF(F11="Tiesa","True","False")</f>
        <v>True</v>
      </c>
    </row>
    <row r="14" spans="1:6" ht="18.75" customHeight="1">
      <c r="A14" s="61"/>
      <c r="B14" s="496"/>
      <c r="C14" s="558" t="s">
        <v>315</v>
      </c>
      <c r="D14" s="560" t="s">
        <v>316</v>
      </c>
      <c r="E14" s="135" t="str">
        <f>IF(OR((E21&gt;=0)*(E22&gt;=0),(E21&gt;=0)*(E22&gt;=E23)),"Tiesa","Netiesa")</f>
        <v>Netiesa</v>
      </c>
      <c r="F14" s="113" t="str">
        <f>IF(OR((F21&gt;=0)*(F22&gt;=0),(F21&gt;=0)*(F22&gt;=F23)),"Tiesa","Netiesa")</f>
        <v>Netiesa</v>
      </c>
    </row>
    <row r="15" spans="1:6" ht="47.25" customHeight="1">
      <c r="A15" s="61"/>
      <c r="B15" s="496"/>
      <c r="C15" s="558"/>
      <c r="D15" s="560"/>
      <c r="E15" s="93" t="str">
        <f>CONCATENATE(FIXED(E21,1),,IF(E21&lt;0," &lt; "," ≥ "),FIXED(0,1), " &amp;
","(",
 FIXED(E22,1),IF(E22&gt;=E23," ≥ "," &lt; "), FIXED(E23,1), " arba / or ",FIXED(E22,1),IF(E22&lt;0," &lt; "," ≥ "),FIXED(0,1),")")</f>
        <v>-1,0 &lt; 0,0 &amp;
(1,3 &lt; 1,4 arba / or 1,3 ≥ 0,0)</v>
      </c>
      <c r="F15" s="114" t="str">
        <f>CONCATENATE(FIXED(F21,1),,IF(F21&lt;0," &lt; "," ≥ "),FIXED(0,1), " &amp;
","(", FIXED(F22,1),IF(F22&gt;=F23," ≥ "," &lt; "), FIXED(F23,1), " arba / or ",FIXED(F22,1),IF(F22&lt;0," &lt; "," ≥ "),FIXED(0,1),")")</f>
        <v>-0,1 &lt; 0,0 &amp;
(1,1 &lt; 1,2 arba / or 1,1 ≥ 0,0)</v>
      </c>
    </row>
    <row r="16" spans="1:6" ht="18" customHeight="1" thickBot="1">
      <c r="A16" s="61"/>
      <c r="B16" s="496"/>
      <c r="C16" s="559"/>
      <c r="D16" s="561"/>
      <c r="E16" s="92" t="str">
        <f>IF(E14="Tiesa","True","False")</f>
        <v>False</v>
      </c>
      <c r="F16" s="107" t="str">
        <f>IF(F14="Tiesa","True","False")</f>
        <v>False</v>
      </c>
    </row>
    <row r="17" spans="1:8" ht="21" customHeight="1">
      <c r="A17" s="61"/>
      <c r="B17" s="496"/>
      <c r="C17" s="564" t="s">
        <v>57</v>
      </c>
      <c r="D17" s="565"/>
      <c r="E17" s="131" t="str">
        <f>IF(OR(E11="Tiesa",E14="Tiesa"),"Tenkinama","Netenkinama")</f>
        <v>Tenkinama</v>
      </c>
      <c r="F17" s="126" t="str">
        <f>IF(OR(F11="Tiesa",F14="Tiesa"),"Tenkinama","Netenkinama")</f>
        <v>Tenkinama</v>
      </c>
    </row>
    <row r="18" spans="1:8" ht="21" customHeight="1" thickBot="1">
      <c r="A18" s="61"/>
      <c r="B18" s="497"/>
      <c r="C18" s="556" t="s">
        <v>317</v>
      </c>
      <c r="D18" s="557"/>
      <c r="E18" s="132" t="str">
        <f>IF(E17="Tenkinama","Valid","Invalid ")</f>
        <v>Valid</v>
      </c>
      <c r="F18" s="127" t="str">
        <f>IF(F17="Tenkinama","Valid","Invalid ")</f>
        <v>Valid</v>
      </c>
    </row>
    <row r="19" spans="1:8" ht="15" thickBot="1">
      <c r="B19" s="20"/>
      <c r="C19" s="179" t="s">
        <v>318</v>
      </c>
      <c r="D19" s="216"/>
      <c r="E19" s="216"/>
      <c r="F19" s="216"/>
      <c r="H19" s="27"/>
    </row>
    <row r="20" spans="1:8" ht="15.75" thickTop="1" thickBot="1">
      <c r="B20" s="20"/>
      <c r="C20" s="182" t="s">
        <v>319</v>
      </c>
      <c r="D20" s="183" t="s">
        <v>211</v>
      </c>
      <c r="E20" s="472">
        <v>2025</v>
      </c>
      <c r="F20" s="473"/>
      <c r="H20" s="27"/>
    </row>
    <row r="21" spans="1:8" ht="15" thickBot="1">
      <c r="B21" s="20"/>
      <c r="C21" s="20"/>
      <c r="D21" s="183" t="s">
        <v>215</v>
      </c>
      <c r="E21" s="157">
        <f>'2. Macro'!M20</f>
        <v>-1.0216612779306966</v>
      </c>
      <c r="F21" s="158">
        <f>'2. Macro'!M19</f>
        <v>-8.7686415898280412E-2</v>
      </c>
      <c r="H21" s="27"/>
    </row>
    <row r="22" spans="1:8" ht="19.5" thickBot="1">
      <c r="B22" s="20"/>
      <c r="C22" s="20"/>
      <c r="D22" s="183" t="s">
        <v>320</v>
      </c>
      <c r="E22" s="157">
        <f>'3. GGbudget'!F31</f>
        <v>1.2737987626024336</v>
      </c>
      <c r="F22" s="158">
        <f>'3. GGbudget'!H31</f>
        <v>1.1232862053453865</v>
      </c>
      <c r="H22" s="27"/>
    </row>
    <row r="23" spans="1:8" ht="19.5" thickBot="1">
      <c r="B23" s="20"/>
      <c r="C23" s="20"/>
      <c r="D23" s="183" t="s">
        <v>321</v>
      </c>
      <c r="E23" s="157">
        <f>'3. GGbudget'!E31</f>
        <v>1.3914671844322273</v>
      </c>
      <c r="F23" s="158">
        <f>'3. GGbudget'!G31</f>
        <v>1.2176729805952051</v>
      </c>
      <c r="G23" s="13"/>
      <c r="H23" s="27"/>
    </row>
    <row r="24" spans="1:8" ht="19.5" thickBot="1">
      <c r="B24" s="20"/>
      <c r="C24" s="20"/>
      <c r="D24" s="183" t="s">
        <v>322</v>
      </c>
      <c r="E24" s="159">
        <f>'3. GGbudget'!F32</f>
        <v>-6.5227587519568905E-2</v>
      </c>
      <c r="F24" s="160">
        <f>'3. GGbudget'!H32</f>
        <v>-0.10966862322869966</v>
      </c>
      <c r="H24" s="6"/>
    </row>
    <row r="25" spans="1:8" ht="15.75" thickTop="1" thickBot="1">
      <c r="B25" s="20"/>
      <c r="C25" s="20"/>
      <c r="D25" s="183" t="s">
        <v>61</v>
      </c>
      <c r="E25" s="183"/>
      <c r="F25" s="211"/>
      <c r="G25" s="37" t="s">
        <v>323</v>
      </c>
      <c r="H25" s="6"/>
    </row>
    <row r="26" spans="1:8" ht="15.75" thickTop="1" thickBot="1">
      <c r="B26" s="20"/>
      <c r="C26" s="20"/>
      <c r="D26" s="183" t="s">
        <v>63</v>
      </c>
      <c r="E26" s="566" t="s">
        <v>37</v>
      </c>
      <c r="F26" s="567"/>
      <c r="G26" s="37" t="s">
        <v>64</v>
      </c>
      <c r="H26" s="6"/>
    </row>
    <row r="27" spans="1:8" ht="15" thickBot="1">
      <c r="B27" s="20"/>
      <c r="C27" s="20"/>
      <c r="D27" s="183" t="s">
        <v>217</v>
      </c>
      <c r="E27" s="562" t="s">
        <v>38</v>
      </c>
      <c r="F27" s="563"/>
      <c r="G27" s="37" t="s">
        <v>218</v>
      </c>
    </row>
    <row r="28" spans="1:8" ht="15" thickTop="1">
      <c r="B28" s="20"/>
      <c r="C28" s="20"/>
      <c r="D28" s="20"/>
      <c r="E28" s="183"/>
      <c r="F28" s="20"/>
    </row>
    <row r="29" spans="1:8">
      <c r="B29" s="20"/>
      <c r="C29" s="20"/>
      <c r="D29" s="20"/>
      <c r="E29" s="183"/>
      <c r="F29" s="55"/>
    </row>
    <row r="30" spans="1:8">
      <c r="B30" s="20"/>
      <c r="C30" s="20"/>
      <c r="D30" s="20"/>
      <c r="E30" s="183"/>
      <c r="F30" s="55"/>
    </row>
    <row r="31" spans="1:8">
      <c r="B31" s="20"/>
      <c r="C31" s="20"/>
      <c r="D31" s="20"/>
      <c r="E31" s="20"/>
      <c r="F31" s="20"/>
    </row>
    <row r="32" spans="1:8">
      <c r="B32" s="20"/>
      <c r="C32" s="20"/>
      <c r="D32" s="20"/>
      <c r="E32" s="20"/>
      <c r="F32" s="20"/>
    </row>
    <row r="33" spans="2:6">
      <c r="B33" s="20"/>
      <c r="C33" s="20"/>
      <c r="D33" s="20"/>
      <c r="E33" s="20"/>
      <c r="F33" s="20"/>
    </row>
    <row r="34" spans="2:6">
      <c r="B34" s="20"/>
      <c r="C34" s="20"/>
      <c r="D34" s="20"/>
      <c r="E34" s="20"/>
      <c r="F34" s="20"/>
    </row>
  </sheetData>
  <mergeCells count="19">
    <mergeCell ref="E27:F27"/>
    <mergeCell ref="C17:D17"/>
    <mergeCell ref="E26:F26"/>
    <mergeCell ref="E20:F20"/>
    <mergeCell ref="C6:C7"/>
    <mergeCell ref="C10:D10"/>
    <mergeCell ref="C11:C13"/>
    <mergeCell ref="D11:D13"/>
    <mergeCell ref="D6:D8"/>
    <mergeCell ref="C9:D9"/>
    <mergeCell ref="B1:C1"/>
    <mergeCell ref="B3:F3"/>
    <mergeCell ref="E4:F4"/>
    <mergeCell ref="B5:D5"/>
    <mergeCell ref="C18:D18"/>
    <mergeCell ref="B11:B18"/>
    <mergeCell ref="C14:C16"/>
    <mergeCell ref="D14:D16"/>
    <mergeCell ref="B6:B10"/>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E6</xm:sqref>
        </x14:conditionalFormatting>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E11</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D6BFA-57F5-469D-BE27-2B3E8F71571D}">
  <sheetPr>
    <tabColor theme="1" tint="0.499984740745262"/>
  </sheetPr>
  <dimension ref="A1:AE39"/>
  <sheetViews>
    <sheetView showGridLines="0" showRowColHeaders="0" topLeftCell="A5" zoomScale="60" zoomScaleNormal="60" workbookViewId="0">
      <selection activeCell="AJ13" sqref="AJ13"/>
    </sheetView>
  </sheetViews>
  <sheetFormatPr defaultColWidth="10" defaultRowHeight="14.25"/>
  <cols>
    <col min="1" max="1" width="3.7109375" style="1" customWidth="1"/>
    <col min="2" max="2" width="58" style="1" customWidth="1"/>
    <col min="3" max="4" width="10.5703125" style="1" customWidth="1"/>
    <col min="5" max="21" width="10.85546875" style="1" customWidth="1"/>
    <col min="22" max="22" width="11.7109375" style="1" customWidth="1"/>
    <col min="23" max="23" width="12.42578125" style="1" customWidth="1"/>
    <col min="24" max="16384" width="10" style="1"/>
  </cols>
  <sheetData>
    <row r="1" spans="1:31">
      <c r="A1" s="190"/>
      <c r="B1" s="498" t="s">
        <v>32</v>
      </c>
      <c r="C1" s="498"/>
      <c r="D1" s="219"/>
      <c r="E1" s="219"/>
      <c r="F1" s="219"/>
      <c r="G1" s="219"/>
      <c r="H1" s="219"/>
      <c r="I1" s="219"/>
      <c r="J1" s="219"/>
      <c r="K1" s="219"/>
      <c r="L1" s="219"/>
      <c r="M1" s="219"/>
      <c r="N1" s="219"/>
      <c r="O1" s="219"/>
      <c r="P1" s="219"/>
      <c r="Q1" s="219"/>
      <c r="R1" s="219"/>
      <c r="S1" s="219"/>
      <c r="T1" s="219"/>
      <c r="U1" s="219"/>
      <c r="V1" s="219"/>
      <c r="W1" s="219"/>
    </row>
    <row r="2" spans="1:31" ht="15" thickBot="1">
      <c r="A2" s="191" t="s">
        <v>33</v>
      </c>
      <c r="B2" s="20"/>
      <c r="C2" s="20"/>
      <c r="D2" s="20"/>
      <c r="E2" s="20"/>
      <c r="F2" s="20"/>
      <c r="G2" s="20"/>
      <c r="H2" s="20"/>
      <c r="I2" s="20"/>
      <c r="J2" s="20"/>
      <c r="K2" s="20"/>
      <c r="L2" s="20"/>
      <c r="M2" s="20"/>
      <c r="N2" s="20"/>
      <c r="O2" s="20"/>
      <c r="P2" s="20"/>
      <c r="Q2" s="20"/>
      <c r="R2" s="20"/>
      <c r="S2" s="20"/>
      <c r="T2" s="20"/>
      <c r="U2" s="20"/>
      <c r="V2" s="20"/>
      <c r="W2" s="20"/>
    </row>
    <row r="3" spans="1:31" ht="49.5" customHeight="1" thickBot="1">
      <c r="A3" s="181"/>
      <c r="B3" s="585" t="s">
        <v>324</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7"/>
    </row>
    <row r="4" spans="1:31" ht="41.25" customHeight="1" thickBot="1">
      <c r="A4" s="20"/>
      <c r="B4" s="249" t="s">
        <v>325</v>
      </c>
      <c r="C4" s="248"/>
      <c r="D4" s="579">
        <v>2016</v>
      </c>
      <c r="E4" s="580"/>
      <c r="F4" s="579">
        <v>2017</v>
      </c>
      <c r="G4" s="581"/>
      <c r="H4" s="579">
        <v>2018</v>
      </c>
      <c r="I4" s="581"/>
      <c r="J4" s="580"/>
      <c r="K4" s="579">
        <v>2019</v>
      </c>
      <c r="L4" s="581"/>
      <c r="M4" s="580"/>
      <c r="N4" s="579">
        <v>2020</v>
      </c>
      <c r="O4" s="581"/>
      <c r="P4" s="580"/>
      <c r="Q4" s="579">
        <v>2021</v>
      </c>
      <c r="R4" s="581"/>
      <c r="S4" s="580"/>
      <c r="T4" s="579">
        <v>2022</v>
      </c>
      <c r="U4" s="581"/>
      <c r="V4" s="580"/>
      <c r="W4" s="579">
        <v>2023</v>
      </c>
      <c r="X4" s="581"/>
      <c r="Y4" s="580"/>
      <c r="Z4" s="529">
        <v>2024</v>
      </c>
      <c r="AA4" s="529"/>
      <c r="AB4" s="529"/>
      <c r="AC4" s="582">
        <v>2025</v>
      </c>
      <c r="AD4" s="583"/>
      <c r="AE4" s="584"/>
    </row>
    <row r="5" spans="1:31" ht="61.15" customHeight="1" thickBot="1">
      <c r="A5" s="20"/>
      <c r="B5" s="220"/>
      <c r="C5" s="221" t="s">
        <v>326</v>
      </c>
      <c r="D5" s="222" t="s">
        <v>327</v>
      </c>
      <c r="E5" s="222" t="s">
        <v>328</v>
      </c>
      <c r="F5" s="222" t="s">
        <v>327</v>
      </c>
      <c r="G5" s="222" t="s">
        <v>329</v>
      </c>
      <c r="H5" s="222" t="s">
        <v>327</v>
      </c>
      <c r="I5" s="222" t="s">
        <v>329</v>
      </c>
      <c r="J5" s="222" t="s">
        <v>328</v>
      </c>
      <c r="K5" s="222" t="s">
        <v>327</v>
      </c>
      <c r="L5" s="222" t="s">
        <v>329</v>
      </c>
      <c r="M5" s="222" t="s">
        <v>328</v>
      </c>
      <c r="N5" s="222" t="s">
        <v>327</v>
      </c>
      <c r="O5" s="222" t="s">
        <v>329</v>
      </c>
      <c r="P5" s="222" t="s">
        <v>328</v>
      </c>
      <c r="Q5" s="222" t="s">
        <v>327</v>
      </c>
      <c r="R5" s="222" t="s">
        <v>329</v>
      </c>
      <c r="S5" s="222" t="s">
        <v>328</v>
      </c>
      <c r="T5" s="222" t="s">
        <v>327</v>
      </c>
      <c r="U5" s="222" t="s">
        <v>330</v>
      </c>
      <c r="V5" s="222" t="s">
        <v>331</v>
      </c>
      <c r="W5" s="222" t="s">
        <v>332</v>
      </c>
      <c r="X5" s="222" t="s">
        <v>329</v>
      </c>
      <c r="Y5" s="222" t="s">
        <v>331</v>
      </c>
      <c r="Z5" s="222" t="s">
        <v>332</v>
      </c>
      <c r="AA5" s="222" t="s">
        <v>329</v>
      </c>
      <c r="AB5" s="222" t="s">
        <v>328</v>
      </c>
      <c r="AC5" s="222" t="s">
        <v>332</v>
      </c>
      <c r="AD5" s="222" t="s">
        <v>329</v>
      </c>
      <c r="AE5" s="364" t="s">
        <v>328</v>
      </c>
    </row>
    <row r="6" spans="1:31" ht="25.15" customHeight="1" thickBot="1">
      <c r="A6" s="20"/>
      <c r="B6" s="223" t="s">
        <v>333</v>
      </c>
      <c r="C6" s="224"/>
      <c r="D6" s="225">
        <v>42321</v>
      </c>
      <c r="E6" s="225">
        <v>43054</v>
      </c>
      <c r="F6" s="225">
        <v>42689</v>
      </c>
      <c r="G6" s="225">
        <v>43054</v>
      </c>
      <c r="H6" s="225">
        <v>43054</v>
      </c>
      <c r="I6" s="225">
        <v>43412</v>
      </c>
      <c r="J6" s="225">
        <v>43599</v>
      </c>
      <c r="K6" s="225">
        <v>43412</v>
      </c>
      <c r="L6" s="225">
        <v>43781</v>
      </c>
      <c r="M6" s="225">
        <v>43966</v>
      </c>
      <c r="N6" s="225">
        <v>43781</v>
      </c>
      <c r="O6" s="225">
        <v>44145</v>
      </c>
      <c r="P6" s="225">
        <v>44328</v>
      </c>
      <c r="Q6" s="225">
        <v>44145</v>
      </c>
      <c r="R6" s="225">
        <v>44508</v>
      </c>
      <c r="S6" s="225">
        <v>44686</v>
      </c>
      <c r="T6" s="226">
        <v>44686</v>
      </c>
      <c r="U6" s="226">
        <f>W6</f>
        <v>44862</v>
      </c>
      <c r="V6" s="226">
        <v>45054</v>
      </c>
      <c r="W6" s="227">
        <v>44862</v>
      </c>
      <c r="X6" s="227">
        <v>45226</v>
      </c>
      <c r="Y6" s="226">
        <v>45434</v>
      </c>
      <c r="Z6" s="227">
        <v>45226</v>
      </c>
      <c r="AA6" s="227">
        <v>45590</v>
      </c>
      <c r="AB6" s="227">
        <v>45811</v>
      </c>
      <c r="AC6" s="270" t="s">
        <v>334</v>
      </c>
      <c r="AD6" s="270">
        <v>45967</v>
      </c>
      <c r="AE6" s="270">
        <v>46157</v>
      </c>
    </row>
    <row r="7" spans="1:31" ht="14.25" customHeight="1">
      <c r="A7" s="20"/>
      <c r="B7" s="228" t="s">
        <v>185</v>
      </c>
      <c r="C7" s="186"/>
      <c r="D7" s="590" t="str">
        <f>"Ne"</f>
        <v>Ne</v>
      </c>
      <c r="E7" s="591"/>
      <c r="F7" s="590" t="str">
        <f>"Ne"</f>
        <v>Ne</v>
      </c>
      <c r="G7" s="591"/>
      <c r="H7" s="590" t="str">
        <f>"Ne"</f>
        <v>Ne</v>
      </c>
      <c r="I7" s="591"/>
      <c r="J7" s="592"/>
      <c r="K7" s="590" t="str">
        <f>"Ne"</f>
        <v>Ne</v>
      </c>
      <c r="L7" s="591"/>
      <c r="M7" s="592"/>
      <c r="N7" s="590" t="str">
        <f>"Taip"</f>
        <v>Taip</v>
      </c>
      <c r="O7" s="591"/>
      <c r="P7" s="592"/>
      <c r="Q7" s="590" t="str">
        <f>"Taip"</f>
        <v>Taip</v>
      </c>
      <c r="R7" s="591"/>
      <c r="S7" s="592"/>
      <c r="T7" s="590" t="str">
        <f>"Taip"</f>
        <v>Taip</v>
      </c>
      <c r="U7" s="591"/>
      <c r="V7" s="592"/>
      <c r="W7" s="596" t="str">
        <f>"Taip"</f>
        <v>Taip</v>
      </c>
      <c r="X7" s="597"/>
      <c r="Y7" s="598"/>
      <c r="Z7" s="590" t="str">
        <f>"Taip"</f>
        <v>Taip</v>
      </c>
      <c r="AA7" s="591"/>
      <c r="AB7" s="592"/>
      <c r="AC7" s="590" t="str">
        <f>"Ne"</f>
        <v>Ne</v>
      </c>
      <c r="AD7" s="591"/>
      <c r="AE7" s="592"/>
    </row>
    <row r="8" spans="1:31" ht="14.25" customHeight="1" thickBot="1">
      <c r="A8" s="20"/>
      <c r="B8" s="229" t="s">
        <v>40</v>
      </c>
      <c r="C8" s="187"/>
      <c r="D8" s="593" t="str">
        <f>"No"</f>
        <v>No</v>
      </c>
      <c r="E8" s="594"/>
      <c r="F8" s="593" t="str">
        <f>"No"</f>
        <v>No</v>
      </c>
      <c r="G8" s="594"/>
      <c r="H8" s="593" t="str">
        <f>"No"</f>
        <v>No</v>
      </c>
      <c r="I8" s="594"/>
      <c r="J8" s="595"/>
      <c r="K8" s="593" t="str">
        <f>"No"</f>
        <v>No</v>
      </c>
      <c r="L8" s="594"/>
      <c r="M8" s="595"/>
      <c r="N8" s="593" t="str">
        <f>"Yes"</f>
        <v>Yes</v>
      </c>
      <c r="O8" s="594"/>
      <c r="P8" s="595"/>
      <c r="Q8" s="593" t="str">
        <f>"Yes"</f>
        <v>Yes</v>
      </c>
      <c r="R8" s="594"/>
      <c r="S8" s="595"/>
      <c r="T8" s="593" t="str">
        <f>"Yes"</f>
        <v>Yes</v>
      </c>
      <c r="U8" s="594"/>
      <c r="V8" s="595"/>
      <c r="W8" s="593" t="str">
        <f>"Yes"</f>
        <v>Yes</v>
      </c>
      <c r="X8" s="594"/>
      <c r="Y8" s="595"/>
      <c r="Z8" s="593" t="str">
        <f>"Yes"</f>
        <v>Yes</v>
      </c>
      <c r="AA8" s="594"/>
      <c r="AB8" s="595"/>
      <c r="AC8" s="593" t="str">
        <f>"No"</f>
        <v>No</v>
      </c>
      <c r="AD8" s="594"/>
      <c r="AE8" s="595"/>
    </row>
    <row r="9" spans="1:31" ht="14.25" customHeight="1" thickBot="1">
      <c r="A9" s="20"/>
      <c r="B9" s="230" t="s">
        <v>335</v>
      </c>
      <c r="C9" s="231" t="s">
        <v>37</v>
      </c>
      <c r="D9" s="254">
        <v>-0.3</v>
      </c>
      <c r="E9" s="254">
        <v>0.6</v>
      </c>
      <c r="F9" s="254">
        <v>1.4</v>
      </c>
      <c r="G9" s="254">
        <v>1.7</v>
      </c>
      <c r="H9" s="254">
        <v>1.6</v>
      </c>
      <c r="I9" s="254">
        <v>2.4</v>
      </c>
      <c r="J9" s="254">
        <v>2.9</v>
      </c>
      <c r="K9" s="254">
        <v>1.5</v>
      </c>
      <c r="L9" s="254">
        <v>3.5</v>
      </c>
      <c r="M9" s="254">
        <v>4</v>
      </c>
      <c r="N9" s="254">
        <v>2.2000000000000002</v>
      </c>
      <c r="O9" s="254">
        <v>-1.1000000000000001</v>
      </c>
      <c r="P9" s="254">
        <v>-0.6</v>
      </c>
      <c r="Q9" s="254">
        <v>-1.3</v>
      </c>
      <c r="R9" s="254">
        <v>-0.7</v>
      </c>
      <c r="S9" s="254">
        <v>0.4</v>
      </c>
      <c r="T9" s="254">
        <v>-0.7</v>
      </c>
      <c r="U9" s="254">
        <v>-1</v>
      </c>
      <c r="V9" s="254">
        <v>-0.4</v>
      </c>
      <c r="W9" s="254">
        <v>-2.4</v>
      </c>
      <c r="X9" s="254">
        <v>-1.9237921079299225</v>
      </c>
      <c r="Y9" s="254">
        <v>-2</v>
      </c>
      <c r="Z9" s="254">
        <v>-2.2530986878562032</v>
      </c>
      <c r="AA9" s="254">
        <v>-1.9985156346188804</v>
      </c>
      <c r="AB9" s="254">
        <v>-2.0509821231029957</v>
      </c>
      <c r="AC9" s="254">
        <v>-2.0708332933234486</v>
      </c>
      <c r="AD9" s="254">
        <v>-1.7530872135771425</v>
      </c>
      <c r="AE9" s="365">
        <v>-1.0216612779306966</v>
      </c>
    </row>
    <row r="10" spans="1:31" ht="14.25" customHeight="1" thickBot="1">
      <c r="A10" s="20"/>
      <c r="B10" s="232" t="s">
        <v>336</v>
      </c>
      <c r="C10" s="285" t="s">
        <v>38</v>
      </c>
      <c r="D10" s="284">
        <v>0.9</v>
      </c>
      <c r="E10" s="284">
        <v>0.6</v>
      </c>
      <c r="F10" s="284">
        <v>0.9</v>
      </c>
      <c r="G10" s="284">
        <v>1.6</v>
      </c>
      <c r="H10" s="284">
        <v>2.4</v>
      </c>
      <c r="I10" s="284">
        <v>2.2999999999999998</v>
      </c>
      <c r="J10" s="284">
        <v>1.8</v>
      </c>
      <c r="K10" s="284">
        <v>2.2999999999999998</v>
      </c>
      <c r="L10" s="284">
        <v>3.4</v>
      </c>
      <c r="M10" s="284">
        <v>3.5</v>
      </c>
      <c r="N10" s="284">
        <v>2.7</v>
      </c>
      <c r="O10" s="284">
        <v>-0.6</v>
      </c>
      <c r="P10" s="284">
        <v>-0.35</v>
      </c>
      <c r="Q10" s="284">
        <v>-0.4</v>
      </c>
      <c r="R10" s="284">
        <v>0.3</v>
      </c>
      <c r="S10" s="284">
        <v>2.2000000000000002</v>
      </c>
      <c r="T10" s="284">
        <v>0.7</v>
      </c>
      <c r="U10" s="284">
        <v>0.3</v>
      </c>
      <c r="V10" s="284">
        <v>1.3</v>
      </c>
      <c r="W10" s="284">
        <v>-1.4</v>
      </c>
      <c r="X10" s="284">
        <v>-2.4837897115830843</v>
      </c>
      <c r="Y10" s="255">
        <v>-1.8</v>
      </c>
      <c r="Z10" s="284">
        <v>-4.139237694902187</v>
      </c>
      <c r="AA10" s="284">
        <v>-2.6962432359061594</v>
      </c>
      <c r="AB10" s="284">
        <v>-0.51209270146669317</v>
      </c>
      <c r="AC10" s="284">
        <v>-2.0958314030578462</v>
      </c>
      <c r="AD10" s="284">
        <v>-0.81825634856284024</v>
      </c>
      <c r="AE10" s="366">
        <v>-8.7686415898280412E-2</v>
      </c>
    </row>
    <row r="11" spans="1:31" ht="19.5" customHeight="1" thickBot="1">
      <c r="A11" s="20"/>
      <c r="B11" s="233" t="s">
        <v>337</v>
      </c>
      <c r="C11" s="277" t="s">
        <v>37</v>
      </c>
      <c r="D11" s="271"/>
      <c r="E11" s="234"/>
      <c r="F11" s="235"/>
      <c r="G11" s="272" t="s">
        <v>338</v>
      </c>
      <c r="H11" s="234"/>
      <c r="I11" s="234"/>
      <c r="J11" s="234"/>
      <c r="K11" s="234"/>
      <c r="L11" s="235"/>
      <c r="M11" s="235"/>
      <c r="N11" s="234"/>
      <c r="O11" s="236"/>
      <c r="P11" s="236"/>
      <c r="Q11" s="236"/>
      <c r="R11" s="236"/>
      <c r="S11" s="236"/>
      <c r="T11" s="236"/>
      <c r="U11" s="236"/>
      <c r="V11" s="236"/>
      <c r="W11" s="236"/>
      <c r="X11" s="236"/>
      <c r="Y11" s="236"/>
      <c r="Z11" s="236"/>
      <c r="AA11" s="236"/>
      <c r="AB11" s="287"/>
      <c r="AC11" s="236"/>
      <c r="AD11" s="287"/>
      <c r="AE11" s="292"/>
    </row>
    <row r="12" spans="1:31" ht="19.5" customHeight="1" thickBot="1">
      <c r="A12" s="20"/>
      <c r="B12" s="237" t="s">
        <v>339</v>
      </c>
      <c r="C12" s="286" t="s">
        <v>38</v>
      </c>
      <c r="D12" s="273"/>
      <c r="E12" s="278"/>
      <c r="F12" s="279"/>
      <c r="G12" s="279"/>
      <c r="H12" s="279"/>
      <c r="I12" s="279"/>
      <c r="J12" s="278"/>
      <c r="K12" s="279"/>
      <c r="L12" s="279"/>
      <c r="M12" s="279"/>
      <c r="N12" s="279"/>
      <c r="O12" s="280"/>
      <c r="P12" s="280"/>
      <c r="Q12" s="280"/>
      <c r="R12" s="280"/>
      <c r="S12" s="280"/>
      <c r="T12" s="280"/>
      <c r="U12" s="280"/>
      <c r="V12" s="280"/>
      <c r="W12" s="280"/>
      <c r="X12" s="280"/>
      <c r="Y12" s="280"/>
      <c r="Z12" s="280"/>
      <c r="AA12" s="280"/>
      <c r="AB12" s="288"/>
      <c r="AC12" s="280"/>
      <c r="AD12" s="288"/>
      <c r="AE12" s="362"/>
    </row>
    <row r="13" spans="1:31" ht="19.5" customHeight="1" thickBot="1">
      <c r="A13" s="20"/>
      <c r="B13" s="238" t="s">
        <v>340</v>
      </c>
      <c r="C13" s="277" t="s">
        <v>37</v>
      </c>
      <c r="D13" s="274"/>
      <c r="E13" s="281" t="s">
        <v>338</v>
      </c>
      <c r="F13" s="280"/>
      <c r="G13" s="280"/>
      <c r="H13" s="280"/>
      <c r="I13" s="280"/>
      <c r="J13" s="280"/>
      <c r="K13" s="280"/>
      <c r="L13" s="280"/>
      <c r="M13" s="280"/>
      <c r="N13" s="280"/>
      <c r="O13" s="280"/>
      <c r="P13" s="280"/>
      <c r="Q13" s="280"/>
      <c r="R13" s="280"/>
      <c r="S13" s="280"/>
      <c r="T13" s="280"/>
      <c r="U13" s="280"/>
      <c r="V13" s="280"/>
      <c r="W13" s="280"/>
      <c r="X13" s="280"/>
      <c r="Y13" s="280"/>
      <c r="Z13" s="280"/>
      <c r="AA13" s="280"/>
      <c r="AB13" s="288"/>
      <c r="AC13" s="280"/>
      <c r="AD13" s="288"/>
      <c r="AE13" s="362"/>
    </row>
    <row r="14" spans="1:31" ht="19.5" customHeight="1" thickBot="1">
      <c r="A14" s="20"/>
      <c r="B14" s="237" t="s">
        <v>341</v>
      </c>
      <c r="C14" s="286" t="s">
        <v>38</v>
      </c>
      <c r="D14" s="274"/>
      <c r="E14" s="281" t="s">
        <v>338</v>
      </c>
      <c r="F14" s="280"/>
      <c r="G14" s="281" t="s">
        <v>338</v>
      </c>
      <c r="H14" s="279"/>
      <c r="I14" s="282" t="s">
        <v>338</v>
      </c>
      <c r="J14" s="279"/>
      <c r="K14" s="280"/>
      <c r="L14" s="280"/>
      <c r="M14" s="280"/>
      <c r="N14" s="280"/>
      <c r="O14" s="280"/>
      <c r="P14" s="280"/>
      <c r="Q14" s="280"/>
      <c r="R14" s="280"/>
      <c r="S14" s="280"/>
      <c r="T14" s="280"/>
      <c r="U14" s="280"/>
      <c r="V14" s="280"/>
      <c r="W14" s="280"/>
      <c r="X14" s="280"/>
      <c r="Y14" s="280"/>
      <c r="Z14" s="280"/>
      <c r="AA14" s="280"/>
      <c r="AB14" s="288"/>
      <c r="AC14" s="280"/>
      <c r="AD14" s="288"/>
      <c r="AE14" s="362"/>
    </row>
    <row r="15" spans="1:31" ht="20.25" customHeight="1" thickBot="1">
      <c r="A15" s="20"/>
      <c r="B15" s="238" t="s">
        <v>310</v>
      </c>
      <c r="C15" s="277" t="s">
        <v>37</v>
      </c>
      <c r="D15" s="274"/>
      <c r="E15" s="280"/>
      <c r="F15" s="280"/>
      <c r="G15" s="280"/>
      <c r="H15" s="280"/>
      <c r="I15" s="280"/>
      <c r="J15" s="278"/>
      <c r="K15" s="278"/>
      <c r="L15" s="278"/>
      <c r="M15" s="279"/>
      <c r="N15" s="278"/>
      <c r="O15" s="279"/>
      <c r="P15" s="278"/>
      <c r="Q15" s="278"/>
      <c r="R15" s="278"/>
      <c r="S15" s="278"/>
      <c r="T15" s="278"/>
      <c r="U15" s="283"/>
      <c r="V15" s="278"/>
      <c r="W15" s="283"/>
      <c r="X15" s="283"/>
      <c r="Y15" s="283"/>
      <c r="Z15" s="283"/>
      <c r="AA15" s="283"/>
      <c r="AB15" s="289"/>
      <c r="AC15" s="283"/>
      <c r="AD15" s="368"/>
      <c r="AE15" s="367"/>
    </row>
    <row r="16" spans="1:31" ht="19.5" customHeight="1" thickBot="1">
      <c r="A16" s="20"/>
      <c r="B16" s="237" t="s">
        <v>311</v>
      </c>
      <c r="C16" s="286" t="s">
        <v>38</v>
      </c>
      <c r="D16" s="274"/>
      <c r="E16" s="280"/>
      <c r="F16" s="280"/>
      <c r="G16" s="280"/>
      <c r="H16" s="280"/>
      <c r="I16" s="280"/>
      <c r="J16" s="278"/>
      <c r="K16" s="278"/>
      <c r="L16" s="278"/>
      <c r="M16" s="279"/>
      <c r="N16" s="278"/>
      <c r="O16" s="279"/>
      <c r="P16" s="278"/>
      <c r="Q16" s="278"/>
      <c r="R16" s="278"/>
      <c r="S16" s="278"/>
      <c r="T16" s="278"/>
      <c r="U16" s="283"/>
      <c r="V16" s="278"/>
      <c r="W16" s="283"/>
      <c r="X16" s="283"/>
      <c r="Y16" s="283"/>
      <c r="Z16" s="283"/>
      <c r="AA16" s="283"/>
      <c r="AB16" s="289"/>
      <c r="AC16" s="283"/>
      <c r="AD16" s="335"/>
      <c r="AE16" s="367"/>
    </row>
    <row r="17" spans="1:31" ht="19.5" customHeight="1" thickBot="1">
      <c r="A17" s="20"/>
      <c r="B17" s="233" t="s">
        <v>57</v>
      </c>
      <c r="C17" s="277" t="s">
        <v>37</v>
      </c>
      <c r="D17" s="275" t="s">
        <v>338</v>
      </c>
      <c r="E17" s="282" t="s">
        <v>338</v>
      </c>
      <c r="F17" s="278"/>
      <c r="G17" s="278"/>
      <c r="H17" s="278"/>
      <c r="I17" s="278"/>
      <c r="J17" s="278"/>
      <c r="K17" s="278"/>
      <c r="L17" s="278"/>
      <c r="M17" s="278"/>
      <c r="N17" s="278"/>
      <c r="O17" s="278"/>
      <c r="P17" s="278"/>
      <c r="Q17" s="278"/>
      <c r="R17" s="278"/>
      <c r="S17" s="278"/>
      <c r="T17" s="278"/>
      <c r="U17" s="283"/>
      <c r="V17" s="278"/>
      <c r="W17" s="283"/>
      <c r="X17" s="283"/>
      <c r="Y17" s="283"/>
      <c r="Z17" s="283"/>
      <c r="AA17" s="283"/>
      <c r="AB17" s="289"/>
      <c r="AC17" s="283"/>
      <c r="AD17" s="289"/>
      <c r="AE17" s="360"/>
    </row>
    <row r="18" spans="1:31" ht="19.5" customHeight="1" thickBot="1">
      <c r="A18" s="20"/>
      <c r="B18" s="237" t="s">
        <v>317</v>
      </c>
      <c r="C18" s="286" t="s">
        <v>38</v>
      </c>
      <c r="D18" s="276" t="s">
        <v>338</v>
      </c>
      <c r="E18" s="239" t="s">
        <v>338</v>
      </c>
      <c r="F18" s="240"/>
      <c r="G18" s="240"/>
      <c r="H18" s="240"/>
      <c r="I18" s="240"/>
      <c r="J18" s="240"/>
      <c r="K18" s="240"/>
      <c r="L18" s="240"/>
      <c r="M18" s="240"/>
      <c r="N18" s="240"/>
      <c r="O18" s="240"/>
      <c r="P18" s="240"/>
      <c r="Q18" s="240"/>
      <c r="R18" s="240"/>
      <c r="S18" s="240"/>
      <c r="T18" s="240"/>
      <c r="U18" s="241"/>
      <c r="V18" s="240"/>
      <c r="W18" s="241"/>
      <c r="X18" s="241"/>
      <c r="Y18" s="241"/>
      <c r="Z18" s="241"/>
      <c r="AA18" s="241"/>
      <c r="AB18" s="290"/>
      <c r="AC18" s="241"/>
      <c r="AD18" s="290"/>
      <c r="AE18" s="361"/>
    </row>
    <row r="19" spans="1:31" ht="15.75" customHeight="1" thickBot="1">
      <c r="A19" s="20"/>
      <c r="B19" s="20"/>
      <c r="C19" s="471"/>
      <c r="D19" s="471"/>
      <c r="E19" s="471"/>
      <c r="F19" s="471"/>
      <c r="G19" s="471"/>
      <c r="H19" s="471"/>
      <c r="I19" s="471"/>
      <c r="J19" s="471"/>
      <c r="K19" s="471"/>
      <c r="L19" s="471"/>
      <c r="M19" s="471"/>
      <c r="N19" s="471"/>
      <c r="O19" s="471"/>
      <c r="P19" s="471"/>
      <c r="Q19" s="471"/>
      <c r="R19" s="471"/>
      <c r="S19" s="471"/>
      <c r="T19" s="471"/>
      <c r="U19" s="471"/>
      <c r="V19" s="471"/>
      <c r="W19" s="471"/>
    </row>
    <row r="20" spans="1:31">
      <c r="A20" s="20"/>
      <c r="B20" s="20"/>
      <c r="E20" s="204" t="s">
        <v>342</v>
      </c>
      <c r="F20" s="242"/>
      <c r="G20" s="243"/>
      <c r="H20" s="37" t="s">
        <v>343</v>
      </c>
      <c r="O20" s="182"/>
      <c r="P20" s="182"/>
      <c r="Q20" s="182"/>
      <c r="R20" s="182"/>
      <c r="S20" s="182"/>
      <c r="T20" s="182"/>
      <c r="U20" s="182"/>
      <c r="V20" s="182"/>
      <c r="W20" s="182"/>
    </row>
    <row r="21" spans="1:31">
      <c r="A21" s="20"/>
      <c r="B21" s="20"/>
      <c r="E21" s="204" t="s">
        <v>344</v>
      </c>
      <c r="F21" s="244"/>
      <c r="G21" s="245"/>
      <c r="H21" s="37" t="s">
        <v>345</v>
      </c>
      <c r="O21" s="20"/>
      <c r="P21" s="20"/>
      <c r="Q21" s="20"/>
      <c r="R21" s="20"/>
      <c r="S21" s="20"/>
    </row>
    <row r="22" spans="1:31">
      <c r="A22" s="20"/>
      <c r="B22" s="20"/>
      <c r="E22" s="204" t="s">
        <v>346</v>
      </c>
      <c r="F22" s="246"/>
      <c r="G22" s="247"/>
      <c r="H22" s="37" t="s">
        <v>347</v>
      </c>
      <c r="O22" s="20"/>
      <c r="P22" s="20"/>
      <c r="Q22" s="20"/>
      <c r="R22" s="20"/>
      <c r="S22" s="20"/>
    </row>
    <row r="23" spans="1:31" ht="15.75" customHeight="1" thickBot="1">
      <c r="A23" s="20"/>
      <c r="B23" s="20"/>
      <c r="E23" s="204" t="s">
        <v>348</v>
      </c>
      <c r="F23" s="588" t="s">
        <v>338</v>
      </c>
      <c r="G23" s="589"/>
      <c r="H23" s="37" t="s">
        <v>349</v>
      </c>
      <c r="O23" s="20"/>
      <c r="P23" s="20"/>
      <c r="Q23" s="20"/>
      <c r="R23" s="20"/>
      <c r="S23" s="20"/>
    </row>
    <row r="24" spans="1:31">
      <c r="A24" s="20"/>
      <c r="B24" s="20"/>
      <c r="E24" s="20"/>
      <c r="F24" s="20"/>
      <c r="G24" s="20"/>
      <c r="H24" s="20"/>
      <c r="L24" s="20"/>
      <c r="M24" s="20"/>
      <c r="N24" s="20"/>
      <c r="O24" s="20"/>
      <c r="P24" s="20"/>
      <c r="Q24" s="20"/>
      <c r="R24" s="20"/>
      <c r="S24" s="20"/>
    </row>
    <row r="25" spans="1:31" ht="15" thickBot="1">
      <c r="A25" s="20"/>
      <c r="B25" s="20"/>
      <c r="E25" s="183" t="s">
        <v>61</v>
      </c>
      <c r="F25" s="20"/>
      <c r="G25" s="20"/>
      <c r="H25" s="43" t="s">
        <v>62</v>
      </c>
      <c r="L25" s="20"/>
      <c r="M25" s="20"/>
      <c r="N25" s="20"/>
      <c r="O25" s="20"/>
      <c r="P25" s="20"/>
      <c r="Q25" s="20"/>
      <c r="R25" s="20"/>
      <c r="S25" s="20"/>
    </row>
    <row r="26" spans="1:31" ht="15.75" customHeight="1" thickBot="1">
      <c r="A26" s="20"/>
      <c r="B26" s="20"/>
      <c r="E26" s="183" t="s">
        <v>63</v>
      </c>
      <c r="F26" s="599" t="s">
        <v>37</v>
      </c>
      <c r="G26" s="600"/>
      <c r="H26" s="43" t="s">
        <v>64</v>
      </c>
      <c r="L26" s="20"/>
      <c r="M26" s="20"/>
      <c r="N26" s="20"/>
      <c r="O26" s="20"/>
      <c r="P26" s="20"/>
      <c r="Q26" s="20"/>
      <c r="R26" s="20"/>
      <c r="S26" s="20"/>
    </row>
    <row r="27" spans="1:31" ht="15" thickBot="1">
      <c r="A27" s="20"/>
      <c r="B27" s="20"/>
      <c r="C27" s="183"/>
      <c r="D27" s="183"/>
      <c r="E27" s="183" t="s">
        <v>217</v>
      </c>
      <c r="F27" s="463" t="s">
        <v>38</v>
      </c>
      <c r="G27" s="463"/>
      <c r="H27" s="37" t="s">
        <v>218</v>
      </c>
      <c r="I27" s="183"/>
      <c r="L27" s="20"/>
      <c r="M27" s="20"/>
      <c r="N27" s="20"/>
      <c r="O27" s="20"/>
      <c r="P27" s="20"/>
      <c r="Q27" s="20"/>
      <c r="R27" s="20"/>
      <c r="S27" s="20"/>
    </row>
    <row r="28" spans="1:31">
      <c r="A28" s="20"/>
      <c r="B28" s="20"/>
      <c r="C28" s="183"/>
      <c r="D28" s="183"/>
      <c r="K28" s="183"/>
      <c r="L28" s="183"/>
      <c r="M28" s="183"/>
      <c r="N28" s="183"/>
      <c r="O28" s="183"/>
      <c r="P28" s="183"/>
      <c r="Q28" s="183"/>
      <c r="R28" s="183"/>
      <c r="S28" s="183"/>
    </row>
    <row r="29" spans="1:31">
      <c r="A29" s="20"/>
      <c r="B29" s="20"/>
      <c r="C29" s="183"/>
      <c r="D29" s="183"/>
      <c r="E29" s="183"/>
      <c r="F29" s="183"/>
      <c r="G29" s="183"/>
      <c r="H29" s="183"/>
      <c r="I29" s="183"/>
      <c r="J29" s="183"/>
      <c r="K29" s="183"/>
      <c r="L29" s="183"/>
      <c r="M29" s="183"/>
      <c r="N29" s="183"/>
      <c r="O29" s="183"/>
      <c r="P29" s="183"/>
      <c r="Q29" s="183"/>
      <c r="R29" s="183"/>
      <c r="S29" s="183"/>
      <c r="T29" s="183"/>
      <c r="U29" s="183"/>
      <c r="V29" s="183"/>
      <c r="W29" s="183"/>
    </row>
    <row r="30" spans="1:31" s="8" customFormat="1">
      <c r="C30" s="28" t="s">
        <v>219</v>
      </c>
      <c r="D30" s="28"/>
      <c r="E30" s="28"/>
      <c r="F30" s="28"/>
      <c r="G30" s="28"/>
      <c r="H30" s="28"/>
      <c r="I30" s="28"/>
      <c r="J30" s="28"/>
      <c r="K30" s="28"/>
      <c r="L30" s="28"/>
      <c r="M30" s="28"/>
      <c r="N30" s="28"/>
      <c r="O30" s="28"/>
      <c r="P30" s="28"/>
      <c r="Q30" s="28"/>
      <c r="R30" s="28"/>
      <c r="S30" s="28"/>
      <c r="T30" s="28"/>
      <c r="U30" s="28"/>
      <c r="V30" s="28"/>
      <c r="W30" s="28"/>
    </row>
    <row r="31" spans="1:31" s="8" customFormat="1">
      <c r="C31" s="28" t="s">
        <v>221</v>
      </c>
      <c r="D31" s="28"/>
      <c r="E31" s="28"/>
      <c r="F31" s="28"/>
      <c r="G31" s="28"/>
      <c r="H31" s="28"/>
      <c r="I31" s="28"/>
      <c r="J31" s="28"/>
      <c r="K31" s="28"/>
      <c r="L31" s="28"/>
      <c r="M31" s="28"/>
      <c r="N31" s="28"/>
      <c r="O31" s="28"/>
      <c r="P31" s="28"/>
      <c r="Q31" s="28"/>
      <c r="R31" s="28"/>
      <c r="S31" s="28"/>
      <c r="T31" s="28"/>
      <c r="U31" s="28"/>
      <c r="V31" s="28"/>
      <c r="W31" s="28"/>
    </row>
    <row r="32" spans="1:31" s="8" customFormat="1">
      <c r="C32" s="28" t="s">
        <v>223</v>
      </c>
      <c r="D32" s="28"/>
      <c r="E32" s="28"/>
      <c r="F32" s="28"/>
      <c r="G32" s="28"/>
      <c r="H32" s="28"/>
      <c r="I32" s="28"/>
      <c r="J32" s="28"/>
      <c r="K32" s="28"/>
      <c r="L32" s="28"/>
      <c r="M32" s="28"/>
      <c r="N32" s="28"/>
      <c r="O32" s="28"/>
      <c r="P32" s="28"/>
      <c r="Q32" s="28"/>
      <c r="R32" s="28"/>
      <c r="S32" s="28"/>
      <c r="T32" s="28"/>
      <c r="U32" s="28"/>
      <c r="V32" s="28"/>
      <c r="W32" s="28"/>
      <c r="X32" s="31"/>
      <c r="Y32" s="31"/>
      <c r="Z32" s="31"/>
    </row>
    <row r="33" spans="3:28" s="8" customFormat="1">
      <c r="C33" s="28" t="s">
        <v>225</v>
      </c>
      <c r="D33" s="28"/>
      <c r="E33" s="28"/>
      <c r="F33" s="28"/>
      <c r="G33" s="28"/>
      <c r="H33" s="28"/>
      <c r="I33" s="28"/>
      <c r="J33" s="28"/>
      <c r="K33" s="28"/>
      <c r="L33" s="28"/>
      <c r="M33" s="28"/>
      <c r="N33" s="28"/>
      <c r="O33" s="28"/>
      <c r="P33" s="28"/>
      <c r="Q33" s="28"/>
      <c r="R33" s="28"/>
      <c r="S33" s="28"/>
      <c r="T33" s="28"/>
      <c r="U33" s="28"/>
      <c r="V33" s="28"/>
      <c r="W33" s="28"/>
      <c r="X33" s="31"/>
      <c r="Y33" s="31"/>
      <c r="Z33" s="31"/>
    </row>
    <row r="34" spans="3:28" s="8" customFormat="1"/>
    <row r="35" spans="3:28">
      <c r="C35" s="10"/>
      <c r="D35" s="10"/>
      <c r="E35" s="10"/>
      <c r="F35" s="10"/>
      <c r="G35" s="10"/>
      <c r="H35" s="10"/>
      <c r="I35" s="10"/>
      <c r="J35" s="10"/>
      <c r="K35" s="10"/>
      <c r="L35" s="10"/>
      <c r="M35" s="10"/>
      <c r="N35" s="10"/>
      <c r="O35" s="10"/>
      <c r="P35" s="10"/>
      <c r="Q35" s="10"/>
      <c r="R35" s="10"/>
      <c r="S35" s="10"/>
      <c r="T35" s="10"/>
      <c r="U35" s="10"/>
      <c r="V35" s="10"/>
      <c r="W35" s="10"/>
      <c r="X35" s="8"/>
      <c r="Y35" s="8"/>
      <c r="Z35" s="8"/>
      <c r="AA35" s="8"/>
      <c r="AB35" s="8"/>
    </row>
    <row r="36" spans="3:28">
      <c r="C36" s="10"/>
      <c r="D36" s="10"/>
      <c r="E36" s="10"/>
      <c r="F36" s="10"/>
      <c r="G36" s="10"/>
      <c r="H36" s="10"/>
      <c r="I36" s="10"/>
      <c r="J36" s="10"/>
      <c r="K36" s="10"/>
      <c r="L36" s="10"/>
      <c r="M36" s="10"/>
      <c r="N36" s="10"/>
      <c r="O36" s="10"/>
      <c r="P36" s="10"/>
      <c r="Q36" s="10"/>
      <c r="R36" s="10"/>
      <c r="S36" s="10"/>
      <c r="T36" s="10"/>
      <c r="U36" s="10"/>
      <c r="V36" s="10"/>
      <c r="W36" s="10"/>
      <c r="X36" s="8"/>
      <c r="Y36" s="8"/>
      <c r="Z36" s="8"/>
      <c r="AA36" s="8"/>
      <c r="AB36" s="8"/>
    </row>
    <row r="37" spans="3:28">
      <c r="C37" s="12"/>
      <c r="D37" s="12"/>
      <c r="E37" s="12"/>
      <c r="F37" s="12"/>
      <c r="G37" s="12"/>
      <c r="H37" s="12"/>
      <c r="I37" s="12"/>
      <c r="J37" s="12"/>
      <c r="K37" s="12"/>
      <c r="L37" s="12"/>
      <c r="M37" s="12"/>
      <c r="N37" s="12"/>
      <c r="O37" s="12"/>
      <c r="P37" s="12"/>
      <c r="Q37" s="12"/>
      <c r="R37" s="12"/>
      <c r="S37" s="12"/>
      <c r="T37" s="12"/>
      <c r="U37" s="12"/>
      <c r="V37" s="12"/>
      <c r="W37" s="12"/>
    </row>
    <row r="38" spans="3:28">
      <c r="C38" s="12"/>
      <c r="D38" s="12"/>
      <c r="E38" s="12"/>
      <c r="F38" s="12"/>
      <c r="G38" s="12"/>
      <c r="H38" s="12"/>
      <c r="I38" s="12"/>
      <c r="J38" s="12"/>
      <c r="K38" s="12"/>
      <c r="L38" s="12"/>
      <c r="M38" s="12"/>
      <c r="N38" s="12"/>
      <c r="O38" s="12"/>
      <c r="P38" s="12"/>
      <c r="Q38" s="12"/>
      <c r="R38" s="12"/>
      <c r="S38" s="12"/>
      <c r="T38" s="12"/>
      <c r="U38" s="12"/>
      <c r="V38" s="12"/>
      <c r="W38" s="12"/>
    </row>
    <row r="39" spans="3:28">
      <c r="C39" s="12"/>
      <c r="D39" s="12"/>
      <c r="E39" s="12"/>
      <c r="F39" s="12"/>
      <c r="G39" s="12"/>
      <c r="H39" s="12"/>
      <c r="I39" s="12"/>
      <c r="J39" s="12"/>
      <c r="K39" s="12"/>
      <c r="L39" s="12"/>
      <c r="M39" s="12"/>
      <c r="N39" s="12"/>
      <c r="O39" s="12"/>
      <c r="P39" s="12"/>
      <c r="Q39" s="12"/>
      <c r="R39" s="12"/>
      <c r="S39" s="12"/>
      <c r="T39" s="12"/>
      <c r="U39" s="12"/>
      <c r="V39" s="12"/>
      <c r="W39" s="12"/>
    </row>
  </sheetData>
  <mergeCells count="36">
    <mergeCell ref="AC7:AE7"/>
    <mergeCell ref="F26:G26"/>
    <mergeCell ref="F27:G27"/>
    <mergeCell ref="Q7:S7"/>
    <mergeCell ref="D7:E7"/>
    <mergeCell ref="F7:G7"/>
    <mergeCell ref="H7:J7"/>
    <mergeCell ref="K7:M7"/>
    <mergeCell ref="N7:P7"/>
    <mergeCell ref="D8:E8"/>
    <mergeCell ref="F8:G8"/>
    <mergeCell ref="H8:J8"/>
    <mergeCell ref="K8:M8"/>
    <mergeCell ref="N8:P8"/>
    <mergeCell ref="Q8:S8"/>
    <mergeCell ref="N4:P4"/>
    <mergeCell ref="AC4:AE4"/>
    <mergeCell ref="B3:AE3"/>
    <mergeCell ref="C19:W19"/>
    <mergeCell ref="F23:G23"/>
    <mergeCell ref="T7:V7"/>
    <mergeCell ref="T8:V8"/>
    <mergeCell ref="T4:V4"/>
    <mergeCell ref="W7:Y7"/>
    <mergeCell ref="W8:Y8"/>
    <mergeCell ref="W4:Y4"/>
    <mergeCell ref="Q4:S4"/>
    <mergeCell ref="Z7:AB7"/>
    <mergeCell ref="Z8:AB8"/>
    <mergeCell ref="Z4:AB4"/>
    <mergeCell ref="AC8:AE8"/>
    <mergeCell ref="B1:C1"/>
    <mergeCell ref="D4:E4"/>
    <mergeCell ref="F4:G4"/>
    <mergeCell ref="H4:J4"/>
    <mergeCell ref="K4:M4"/>
  </mergeCells>
  <hyperlinks>
    <hyperlink ref="B1" location="Content!A1" display="↖ atgal į turinį" xr:uid="{05558EF7-F704-4AB3-A820-D354BFCDED4F}"/>
    <hyperlink ref="B1:C1" location="Content!A1" display="↖ atgal į turinį " xr:uid="{0457F257-85C2-46B7-89F3-C3C80846FD96}"/>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DE6E-596F-4C75-9F93-482E5A3A906F}">
  <sheetPr>
    <tabColor theme="8" tint="-0.249977111117893"/>
  </sheetPr>
  <dimension ref="A1:J49"/>
  <sheetViews>
    <sheetView showGridLines="0" topLeftCell="A35" workbookViewId="0">
      <selection activeCell="D41" sqref="D41:H41"/>
    </sheetView>
  </sheetViews>
  <sheetFormatPr defaultRowHeight="15"/>
  <cols>
    <col min="1" max="1" width="3.42578125" customWidth="1"/>
    <col min="2" max="2" width="111.5703125" customWidth="1"/>
    <col min="3" max="3" width="33.42578125" customWidth="1"/>
  </cols>
  <sheetData>
    <row r="1" spans="2:8" ht="15.75" thickBot="1">
      <c r="B1" s="528" t="s">
        <v>32</v>
      </c>
      <c r="C1" s="528"/>
    </row>
    <row r="2" spans="2:8" ht="29.45" customHeight="1" thickTop="1" thickBot="1">
      <c r="B2" s="330" t="s">
        <v>350</v>
      </c>
      <c r="C2" s="317" t="s">
        <v>351</v>
      </c>
    </row>
    <row r="3" spans="2:8" ht="40.9" customHeight="1">
      <c r="B3" s="604" t="s">
        <v>352</v>
      </c>
      <c r="C3" s="329" t="str">
        <f>IF(H18&gt;0.6, "Netenkinama", "Tenkinama")</f>
        <v>Tenkinama</v>
      </c>
    </row>
    <row r="4" spans="2:8" ht="41.45" customHeight="1" thickBot="1">
      <c r="B4" s="605"/>
      <c r="C4" s="334" t="str">
        <f>IF(H18&gt;0.6, "Invalid", "Valid")</f>
        <v>Valid</v>
      </c>
    </row>
    <row r="5" spans="2:8" ht="15.75" thickTop="1">
      <c r="B5" s="318" t="s">
        <v>353</v>
      </c>
    </row>
    <row r="6" spans="2:8">
      <c r="B6" s="319" t="s">
        <v>354</v>
      </c>
    </row>
    <row r="7" spans="2:8" ht="15.75" thickBot="1"/>
    <row r="8" spans="2:8" ht="33" customHeight="1" thickTop="1" thickBot="1">
      <c r="B8" s="601" t="s">
        <v>355</v>
      </c>
      <c r="C8" s="602"/>
      <c r="D8" s="602"/>
      <c r="E8" s="602"/>
      <c r="F8" s="602"/>
      <c r="G8" s="602"/>
      <c r="H8" s="603"/>
    </row>
    <row r="9" spans="2:8" ht="29.25" thickBot="1">
      <c r="B9" s="321" t="s">
        <v>356</v>
      </c>
      <c r="C9" s="322" t="s">
        <v>357</v>
      </c>
      <c r="D9" s="320">
        <v>2021</v>
      </c>
      <c r="E9" s="320">
        <v>2022</v>
      </c>
      <c r="F9" s="320">
        <v>2023</v>
      </c>
      <c r="G9" s="320">
        <v>2024</v>
      </c>
      <c r="H9" s="323">
        <v>2025</v>
      </c>
    </row>
    <row r="10" spans="2:8" ht="29.25" thickBot="1">
      <c r="B10" s="79" t="s">
        <v>358</v>
      </c>
      <c r="C10" s="306" t="s">
        <v>359</v>
      </c>
      <c r="D10" s="298"/>
      <c r="E10" s="298"/>
      <c r="F10" s="298"/>
      <c r="G10" s="298"/>
      <c r="H10" s="324">
        <f>H37/G34*100</f>
        <v>11.129785378958733</v>
      </c>
    </row>
    <row r="11" spans="2:8" ht="29.25" thickBot="1">
      <c r="B11" s="79" t="s">
        <v>360</v>
      </c>
      <c r="C11" s="306" t="s">
        <v>361</v>
      </c>
      <c r="D11" s="298"/>
      <c r="E11" s="298"/>
      <c r="F11" s="298"/>
      <c r="G11" s="298"/>
      <c r="H11" s="392">
        <v>6.1</v>
      </c>
    </row>
    <row r="12" spans="2:8" ht="29.25" thickBot="1">
      <c r="B12" s="79" t="s">
        <v>362</v>
      </c>
      <c r="C12" s="306" t="s">
        <v>363</v>
      </c>
      <c r="D12" s="298"/>
      <c r="E12" s="298"/>
      <c r="F12" s="298"/>
      <c r="G12" s="298"/>
      <c r="H12" s="311">
        <f>(H10-H11)*G34/100</f>
        <v>1474.4153633759381</v>
      </c>
    </row>
    <row r="13" spans="2:8" ht="29.25" thickBot="1">
      <c r="B13" s="79" t="s">
        <v>364</v>
      </c>
      <c r="C13" s="306" t="s">
        <v>365</v>
      </c>
      <c r="D13" s="298"/>
      <c r="E13" s="298"/>
      <c r="F13" s="298"/>
      <c r="G13" s="298"/>
      <c r="H13" s="311">
        <f>IF(ISBLANK(G10),H12,+H12+G13)</f>
        <v>1474.4153633759381</v>
      </c>
    </row>
    <row r="14" spans="2:8" ht="29.25" thickBot="1">
      <c r="B14" s="79" t="s">
        <v>366</v>
      </c>
      <c r="C14" s="306" t="s">
        <v>367</v>
      </c>
      <c r="D14" s="298"/>
      <c r="E14" s="298"/>
      <c r="F14" s="298"/>
      <c r="G14" s="298"/>
      <c r="H14" s="311">
        <f>H12/H38*100</f>
        <v>1.7539784863598644</v>
      </c>
    </row>
    <row r="15" spans="2:8" ht="29.25" thickBot="1">
      <c r="B15" s="79" t="s">
        <v>368</v>
      </c>
      <c r="C15" s="306" t="s">
        <v>369</v>
      </c>
      <c r="D15" s="298"/>
      <c r="E15" s="298"/>
      <c r="F15" s="298"/>
      <c r="G15" s="298"/>
      <c r="H15" s="311">
        <f>H13/H38*100</f>
        <v>1.7539784863598644</v>
      </c>
    </row>
    <row r="16" spans="2:8" ht="29.25" thickBot="1">
      <c r="B16" s="79" t="s">
        <v>370</v>
      </c>
      <c r="C16" s="306" t="s">
        <v>371</v>
      </c>
      <c r="D16" s="299">
        <f>D39/D38*100</f>
        <v>1.4368064384728376</v>
      </c>
      <c r="E16" s="299">
        <f t="shared" ref="E16:H16" si="0">E39/E38*100</f>
        <v>1.5184604903616667</v>
      </c>
      <c r="F16" s="299">
        <f t="shared" si="0"/>
        <v>2.1818695587819747</v>
      </c>
      <c r="G16" s="299">
        <f t="shared" si="0"/>
        <v>2.4818915340231555</v>
      </c>
      <c r="H16" s="311">
        <f t="shared" si="0"/>
        <v>2.7086218136310216</v>
      </c>
    </row>
    <row r="17" spans="2:8" ht="29.25" thickBot="1">
      <c r="B17" s="79" t="s">
        <v>372</v>
      </c>
      <c r="C17" s="306" t="s">
        <v>373</v>
      </c>
      <c r="D17" s="298"/>
      <c r="E17" s="298"/>
      <c r="F17" s="298"/>
      <c r="G17" s="298"/>
      <c r="H17" s="308">
        <f>MAX(0,MIN(H16-$D$16,1.5))</f>
        <v>1.271815375158184</v>
      </c>
    </row>
    <row r="18" spans="2:8" ht="43.5" thickBot="1">
      <c r="B18" s="325" t="s">
        <v>374</v>
      </c>
      <c r="C18" s="326" t="s">
        <v>375</v>
      </c>
      <c r="D18" s="327"/>
      <c r="E18" s="327"/>
      <c r="F18" s="327"/>
      <c r="G18" s="327"/>
      <c r="H18" s="328">
        <f>H15-H17</f>
        <v>0.48216311120168043</v>
      </c>
    </row>
    <row r="19" spans="2:8" ht="16.5" thickTop="1" thickBot="1"/>
    <row r="20" spans="2:8" ht="29.45" customHeight="1" thickTop="1" thickBot="1">
      <c r="B20" s="601" t="s">
        <v>376</v>
      </c>
      <c r="C20" s="602"/>
      <c r="D20" s="602"/>
      <c r="E20" s="602"/>
      <c r="F20" s="602"/>
      <c r="G20" s="602"/>
      <c r="H20" s="603"/>
    </row>
    <row r="21" spans="2:8" ht="46.9" customHeight="1" thickBot="1">
      <c r="B21" s="321" t="s">
        <v>377</v>
      </c>
      <c r="C21" s="322" t="s">
        <v>357</v>
      </c>
      <c r="D21" s="320">
        <v>2021</v>
      </c>
      <c r="E21" s="320">
        <v>2022</v>
      </c>
      <c r="F21" s="320">
        <v>2023</v>
      </c>
      <c r="G21" s="320">
        <v>2024</v>
      </c>
      <c r="H21" s="323">
        <v>2025</v>
      </c>
    </row>
    <row r="22" spans="2:8" ht="29.25" thickBot="1">
      <c r="B22" s="79" t="s">
        <v>378</v>
      </c>
      <c r="C22" s="306" t="s">
        <v>152</v>
      </c>
      <c r="D22" s="170"/>
      <c r="E22" s="170"/>
      <c r="F22" s="170"/>
      <c r="G22" s="170">
        <v>31136.9</v>
      </c>
      <c r="H22" s="307">
        <v>34738.5</v>
      </c>
    </row>
    <row r="23" spans="2:8" ht="29.25" thickBot="1">
      <c r="B23" s="79" t="s">
        <v>379</v>
      </c>
      <c r="C23" s="306" t="s">
        <v>380</v>
      </c>
      <c r="D23" s="170"/>
      <c r="E23" s="170"/>
      <c r="F23" s="170"/>
      <c r="G23" s="170">
        <v>629.9</v>
      </c>
      <c r="H23" s="307">
        <v>752.2</v>
      </c>
    </row>
    <row r="24" spans="2:8" ht="29.25" thickBot="1">
      <c r="B24" s="79" t="s">
        <v>381</v>
      </c>
      <c r="C24" s="306" t="s">
        <v>382</v>
      </c>
      <c r="D24" s="170"/>
      <c r="E24" s="170"/>
      <c r="F24" s="170"/>
      <c r="G24" s="170">
        <v>111.8</v>
      </c>
      <c r="H24" s="307">
        <v>107.8</v>
      </c>
    </row>
    <row r="25" spans="2:8" ht="29.25" thickBot="1">
      <c r="B25" s="79" t="s">
        <v>383</v>
      </c>
      <c r="C25" s="306" t="s">
        <v>384</v>
      </c>
      <c r="D25" s="170"/>
      <c r="E25" s="170"/>
      <c r="F25" s="170"/>
      <c r="G25" s="170">
        <v>777</v>
      </c>
      <c r="H25" s="307"/>
    </row>
    <row r="26" spans="2:8" ht="29.25" thickBot="1">
      <c r="B26" s="79" t="s">
        <v>385</v>
      </c>
      <c r="C26" s="306" t="s">
        <v>386</v>
      </c>
      <c r="D26" s="304"/>
      <c r="E26" s="304"/>
      <c r="F26" s="304"/>
      <c r="G26" s="305">
        <f>G25/G24</f>
        <v>6.9499105545617175</v>
      </c>
      <c r="H26" s="308">
        <f>IF(ISBLANK(H25),G26,H25/H24)</f>
        <v>6.9499105545617175</v>
      </c>
    </row>
    <row r="27" spans="2:8" ht="29.25" thickBot="1">
      <c r="B27" s="79" t="s">
        <v>387</v>
      </c>
      <c r="C27" s="306" t="s">
        <v>388</v>
      </c>
      <c r="D27" s="304"/>
      <c r="E27" s="304"/>
      <c r="F27" s="304"/>
      <c r="G27" s="305">
        <f>IF(ISBLANK(G25),G26*G24,G25)</f>
        <v>777</v>
      </c>
      <c r="H27" s="308">
        <f>IF(ISBLANK(H25),H26*H24,H25)</f>
        <v>749.20035778175315</v>
      </c>
    </row>
    <row r="28" spans="2:8" ht="29.25" thickBot="1">
      <c r="B28" s="79" t="s">
        <v>389</v>
      </c>
      <c r="C28" s="306" t="s">
        <v>390</v>
      </c>
      <c r="D28" s="295"/>
      <c r="E28" s="295"/>
      <c r="F28" s="295"/>
      <c r="G28" s="295">
        <v>7.1</v>
      </c>
      <c r="H28" s="309">
        <v>6.9</v>
      </c>
    </row>
    <row r="29" spans="2:8" ht="29.25" thickBot="1">
      <c r="B29" s="79" t="s">
        <v>391</v>
      </c>
      <c r="C29" s="306" t="s">
        <v>392</v>
      </c>
      <c r="D29" s="296"/>
      <c r="E29" s="296"/>
      <c r="F29" s="296"/>
      <c r="G29" s="297">
        <v>6.5927819999999997</v>
      </c>
      <c r="H29" s="310">
        <v>6.6230560000000001</v>
      </c>
    </row>
    <row r="30" spans="2:8" ht="29.25" thickBot="1">
      <c r="B30" s="79" t="s">
        <v>393</v>
      </c>
      <c r="C30" s="306" t="s">
        <v>394</v>
      </c>
      <c r="D30" s="298"/>
      <c r="E30" s="298"/>
      <c r="F30" s="298"/>
      <c r="G30" s="299">
        <f>G27*(G28-G29)/G28</f>
        <v>55.508223380281684</v>
      </c>
      <c r="H30" s="311">
        <f>H27*(H28-H29)/H28</f>
        <v>30.070513606595661</v>
      </c>
    </row>
    <row r="31" spans="2:8" ht="29.25" thickBot="1">
      <c r="B31" s="79" t="s">
        <v>395</v>
      </c>
      <c r="C31" s="306" t="s">
        <v>396</v>
      </c>
      <c r="D31" s="295"/>
      <c r="E31" s="295"/>
      <c r="F31" s="295"/>
      <c r="G31" s="295">
        <v>993.8</v>
      </c>
      <c r="H31" s="309">
        <v>1104.4000000000001</v>
      </c>
    </row>
    <row r="32" spans="2:8" ht="29.25" thickBot="1">
      <c r="B32" s="79" t="s">
        <v>397</v>
      </c>
      <c r="C32" s="306" t="s">
        <v>398</v>
      </c>
      <c r="D32" s="295"/>
      <c r="E32" s="295"/>
      <c r="F32" s="295"/>
      <c r="G32" s="390">
        <v>144.10834304999997</v>
      </c>
      <c r="H32" s="309">
        <v>197.3</v>
      </c>
    </row>
    <row r="33" spans="1:10" ht="29.25" thickBot="1">
      <c r="B33" s="79" t="s">
        <v>399</v>
      </c>
      <c r="C33" s="306" t="s">
        <v>160</v>
      </c>
      <c r="D33" s="296"/>
      <c r="E33" s="296"/>
      <c r="F33" s="296"/>
      <c r="G33" s="297">
        <v>-0.1</v>
      </c>
      <c r="H33" s="310">
        <v>-4.0000000000000001E-3</v>
      </c>
    </row>
    <row r="34" spans="1:10" ht="29.25" thickBot="1">
      <c r="B34" s="79" t="s">
        <v>400</v>
      </c>
      <c r="C34" s="306" t="s">
        <v>401</v>
      </c>
      <c r="D34" s="298"/>
      <c r="E34" s="298"/>
      <c r="F34" s="298"/>
      <c r="G34" s="299">
        <f>G22-G23-G30-G31-G32-G33</f>
        <v>29313.683433569717</v>
      </c>
      <c r="H34" s="311">
        <f>H22-H23-H30-H31-H32-H33</f>
        <v>32654.533486393408</v>
      </c>
    </row>
    <row r="35" spans="1:10" ht="43.5" thickBot="1">
      <c r="B35" s="79" t="s">
        <v>402</v>
      </c>
      <c r="C35" s="306" t="s">
        <v>403</v>
      </c>
      <c r="D35" s="298"/>
      <c r="E35" s="298"/>
      <c r="F35" s="298"/>
      <c r="G35" s="298"/>
      <c r="H35" s="311">
        <f>H34-G34</f>
        <v>3340.8500528236909</v>
      </c>
    </row>
    <row r="36" spans="1:10" ht="29.25" thickBot="1">
      <c r="B36" s="79" t="s">
        <v>404</v>
      </c>
      <c r="C36" s="306" t="s">
        <v>405</v>
      </c>
      <c r="D36" s="296"/>
      <c r="E36" s="296"/>
      <c r="F36" s="296"/>
      <c r="G36" s="296"/>
      <c r="H36" s="312">
        <v>78.3</v>
      </c>
    </row>
    <row r="37" spans="1:10" ht="43.5" thickBot="1">
      <c r="B37" s="79" t="s">
        <v>406</v>
      </c>
      <c r="C37" s="306" t="s">
        <v>407</v>
      </c>
      <c r="D37" s="298"/>
      <c r="E37" s="298"/>
      <c r="F37" s="298"/>
      <c r="G37" s="298"/>
      <c r="H37" s="311">
        <f>H35-H36</f>
        <v>3262.5500528236907</v>
      </c>
    </row>
    <row r="38" spans="1:10" ht="29.25" thickBot="1">
      <c r="B38" s="79" t="s">
        <v>408</v>
      </c>
      <c r="C38" s="306" t="s">
        <v>88</v>
      </c>
      <c r="D38" s="295">
        <v>56709.1</v>
      </c>
      <c r="E38" s="295">
        <v>67081.100000000006</v>
      </c>
      <c r="F38" s="295">
        <v>74317</v>
      </c>
      <c r="G38" s="295">
        <v>78996.2</v>
      </c>
      <c r="H38" s="309">
        <v>84061.2</v>
      </c>
    </row>
    <row r="39" spans="1:10" ht="29.25" thickBot="1">
      <c r="B39" s="313" t="s">
        <v>409</v>
      </c>
      <c r="C39" s="314" t="s">
        <v>410</v>
      </c>
      <c r="D39" s="315">
        <v>814.8</v>
      </c>
      <c r="E39" s="315">
        <v>1018.6</v>
      </c>
      <c r="F39" s="315">
        <v>1621.5</v>
      </c>
      <c r="G39" s="315">
        <v>1960.6</v>
      </c>
      <c r="H39" s="316">
        <v>2276.9</v>
      </c>
    </row>
    <row r="40" spans="1:10" ht="15.75" thickTop="1"/>
    <row r="41" spans="1:10" ht="15.75" thickBot="1">
      <c r="A41" s="1"/>
      <c r="B41" s="6" t="s">
        <v>61</v>
      </c>
      <c r="C41" s="1"/>
      <c r="D41" s="443" t="s">
        <v>62</v>
      </c>
      <c r="E41" s="443"/>
      <c r="F41" s="443"/>
      <c r="G41" s="443"/>
      <c r="H41" s="443"/>
      <c r="I41" s="1"/>
      <c r="J41" s="1"/>
    </row>
    <row r="42" spans="1:10" ht="16.5" thickTop="1" thickBot="1">
      <c r="A42" s="1"/>
      <c r="B42" s="6" t="s">
        <v>411</v>
      </c>
      <c r="C42" s="156"/>
      <c r="D42" s="443" t="s">
        <v>412</v>
      </c>
      <c r="E42" s="443"/>
      <c r="F42" s="443"/>
      <c r="G42" s="443"/>
      <c r="H42" s="443"/>
      <c r="I42" s="11"/>
      <c r="J42" s="11"/>
    </row>
    <row r="43" spans="1:10" ht="15.75" thickBot="1">
      <c r="A43" s="6"/>
      <c r="B43" s="6" t="s">
        <v>128</v>
      </c>
      <c r="C43" s="155"/>
      <c r="D43" s="442" t="s">
        <v>413</v>
      </c>
      <c r="E43" s="443"/>
      <c r="F43" s="443"/>
      <c r="G43" s="443"/>
      <c r="H43" s="443"/>
      <c r="I43" s="443"/>
      <c r="J43" s="11"/>
    </row>
    <row r="44" spans="1:10" ht="15.75" thickBot="1">
      <c r="A44" s="6"/>
      <c r="B44" s="6" t="s">
        <v>414</v>
      </c>
      <c r="C44" s="391"/>
      <c r="D44" s="386" t="s">
        <v>415</v>
      </c>
      <c r="E44" s="43"/>
      <c r="F44" s="43"/>
      <c r="G44" s="43"/>
      <c r="H44" s="43"/>
      <c r="I44" s="43"/>
      <c r="J44" s="11"/>
    </row>
    <row r="45" spans="1:10" ht="16.5" thickTop="1" thickBot="1">
      <c r="A45" s="1"/>
      <c r="B45" s="15" t="s">
        <v>134</v>
      </c>
      <c r="C45" s="87"/>
      <c r="D45" s="460" t="s">
        <v>135</v>
      </c>
      <c r="E45" s="461"/>
      <c r="F45" s="461"/>
      <c r="G45" s="461"/>
      <c r="H45" s="461"/>
      <c r="I45" s="461"/>
      <c r="J45" s="461"/>
    </row>
    <row r="46" spans="1:10" ht="29.25" thickTop="1">
      <c r="B46" s="387" t="s">
        <v>416</v>
      </c>
    </row>
    <row r="47" spans="1:10">
      <c r="B47" s="388" t="s">
        <v>417</v>
      </c>
    </row>
    <row r="48" spans="1:10" ht="28.5">
      <c r="B48" s="387" t="s">
        <v>418</v>
      </c>
    </row>
    <row r="49" spans="2:2" ht="29.25">
      <c r="B49" s="389" t="s">
        <v>419</v>
      </c>
    </row>
  </sheetData>
  <mergeCells count="8">
    <mergeCell ref="D41:H41"/>
    <mergeCell ref="D42:H42"/>
    <mergeCell ref="D43:I43"/>
    <mergeCell ref="D45:J45"/>
    <mergeCell ref="B1:C1"/>
    <mergeCell ref="B8:H8"/>
    <mergeCell ref="B20:H20"/>
    <mergeCell ref="B3:B4"/>
  </mergeCells>
  <conditionalFormatting sqref="H18">
    <cfRule type="cellIs" dxfId="1" priority="5" operator="greaterThan">
      <formula>0.6</formula>
    </cfRule>
    <cfRule type="cellIs" dxfId="0" priority="6" operator="lessThanOrEqual">
      <formula>0.6</formula>
    </cfRule>
  </conditionalFormatting>
  <hyperlinks>
    <hyperlink ref="B46" r:id="rId1" display="Tarybos rekomendacija, kuria pritariama Lietuvos nacionaliniam vidutinės trukmės laikotarpio fiskaliniam struktūriniam planui. " xr:uid="{A6E70728-5301-4D5B-BBAF-6DF48E79BF2B}"/>
    <hyperlink ref="B48" r:id="rId2" display="Tarybos rekomendacija, kuria Lietuvai leidžiama nukrypti nuo Tarybos pagal Reglamentą (ES) 2024/1263 nustatyto didžiausio grynųjų išlaidų augimo tempo" xr:uid="{44EF3FA7-89F8-4CC2-848D-24A684BE0F1D}"/>
    <hyperlink ref="B47" r:id="rId3" xr:uid="{22014F59-862D-442D-8DD9-6F4533FFD3B6}"/>
    <hyperlink ref="B49" r:id="rId4" xr:uid="{E6F31895-3BA3-49D8-8ED9-618A24A177C9}"/>
    <hyperlink ref="B1" location="Content!A1" display="↖ atgal į turinį" xr:uid="{309292CD-B43E-4532-9553-CEB4F4AAB76A}"/>
    <hyperlink ref="B1:C1" location="Content!A1" display="↖ atgal į turinį " xr:uid="{4E79D3DA-4D16-4D64-AEA6-39D90C826306}"/>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 operator="containsText" id="{4F7C1D88-278D-46D9-8E09-64C5614789EE}">
            <xm:f>NOT(ISERROR(SEARCH("Netenkinama",C3)))</xm:f>
            <xm:f>"Netenkinama"</xm:f>
            <x14:dxf>
              <fill>
                <patternFill>
                  <bgColor theme="2" tint="-0.24994659260841701"/>
                </patternFill>
              </fill>
            </x14:dxf>
          </x14:cfRule>
          <x14:cfRule type="containsText" priority="4" operator="containsText" id="{E84922CE-D71D-4B16-9705-C826F945793C}">
            <xm:f>NOT(ISERROR(SEARCH("Tenkinama",C3)))</xm:f>
            <xm:f>"Tenkinama"</xm:f>
            <x14:dxf>
              <fill>
                <patternFill>
                  <bgColor theme="9" tint="-0.24994659260841701"/>
                </patternFill>
              </fill>
            </x14:dxf>
          </x14:cfRule>
          <xm:sqref>C3:C4</xm:sqref>
        </x14:conditionalFormatting>
        <x14:conditionalFormatting xmlns:xm="http://schemas.microsoft.com/office/excel/2006/main">
          <x14:cfRule type="containsText" priority="1" operator="containsText" id="{B9476BE0-7546-4853-95FC-A57A0B11E904}">
            <xm:f>NOT(ISERROR(SEARCH("Invalid",C4)))</xm:f>
            <xm:f>"Invalid"</xm:f>
            <x14:dxf>
              <fill>
                <patternFill>
                  <bgColor theme="2" tint="-0.24994659260841701"/>
                </patternFill>
              </fill>
            </x14:dxf>
          </x14:cfRule>
          <x14:cfRule type="containsText" priority="2" operator="containsText" id="{D49CC103-6397-4D9E-83D9-0FCE81ECF867}">
            <xm:f>NOT(ISERROR(SEARCH("Valid",C4)))</xm:f>
            <xm:f>"Valid"</xm:f>
            <x14:dxf>
              <fill>
                <patternFill>
                  <bgColor theme="9" tint="-0.24994659260841701"/>
                </patternFill>
              </fill>
            </x14:dxf>
          </x14:cfRule>
          <xm:sqref>C4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ca32cb424d56a78b90a4a7671fe972c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c8b85e1310019e6308bc863f59104972"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329F4-D511-4571-89D5-4C67682F9B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2EF8B-66EA-4F82-A307-9453EED8E315}">
  <ds:schemaRefs>
    <ds:schemaRef ds:uri="http://schemas.microsoft.com/office/2006/metadata/properties"/>
    <ds:schemaRef ds:uri="http://schemas.microsoft.com/office/infopath/2007/PartnerControls"/>
    <ds:schemaRef ds:uri="c102cb31-f5d5-4956-a0cb-1590ba369788"/>
    <ds:schemaRef ds:uri="cef9cdfa-f4fd-4645-9be5-758c49499792"/>
  </ds:schemaRefs>
</ds:datastoreItem>
</file>

<file path=customXml/itemProps3.xml><?xml version="1.0" encoding="utf-8"?>
<ds:datastoreItem xmlns:ds="http://schemas.openxmlformats.org/officeDocument/2006/customXml" ds:itemID="{6780A987-4A38-4293-857B-392ED21F9808}">
  <ds:schemaRefs>
    <ds:schemaRef ds:uri="http://schemas.microsoft.com/sharepoint/v3/contenttype/forms"/>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Darbalapiai</vt:lpstr>
      </vt:variant>
      <vt:variant>
        <vt:i4>9</vt:i4>
      </vt:variant>
      <vt:variant>
        <vt:lpstr>Įvardytieji diapazonai</vt:lpstr>
      </vt:variant>
      <vt:variant>
        <vt:i4>1</vt:i4>
      </vt:variant>
    </vt:vector>
  </HeadingPairs>
  <TitlesOfParts>
    <vt:vector size="10" baseType="lpstr">
      <vt:lpstr>Content</vt:lpstr>
      <vt:lpstr>1. Summary</vt:lpstr>
      <vt:lpstr>2. Macro</vt:lpstr>
      <vt:lpstr>3. GGbudget</vt:lpstr>
      <vt:lpstr>4. SurplusGG</vt:lpstr>
      <vt:lpstr>5. GGexpenditure</vt:lpstr>
      <vt:lpstr>6. GGbudgets</vt:lpstr>
      <vt:lpstr>7. History</vt:lpstr>
      <vt:lpstr>8. NET_EXP_EU</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  </cp:lastModifiedBy>
  <cp:revision/>
  <dcterms:created xsi:type="dcterms:W3CDTF">2021-04-14T11:35:04Z</dcterms:created>
  <dcterms:modified xsi:type="dcterms:W3CDTF">2026-05-19T08:10:07Z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15327300</vt:r8>
  </property>
  <property fmtid="{D5CDD505-2E9C-101B-9397-08002B2CF9AE}" pid="6" name="TriggerFlowInfo">
    <vt:lpwstr/>
  </property>
  <property fmtid="{D5CDD505-2E9C-101B-9397-08002B2CF9AE}" pid="7" name="MediaServiceImageTags">
    <vt:lpwstr/>
  </property>
</Properties>
</file>