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Šios_darbaknygės"/>
  <mc:AlternateContent xmlns:mc="http://schemas.openxmlformats.org/markup-compatibility/2006">
    <mc:Choice Requires="x15">
      <x15ac:absPath xmlns:x15ac="http://schemas.microsoft.com/office/spreadsheetml/2010/11/ac" url="https://vkontrolelt-my.sharepoint.com/personal/vbindoriute_vkontrole_lt/Documents/Darbalaukis/Tomui/"/>
    </mc:Choice>
  </mc:AlternateContent>
  <xr:revisionPtr revIDLastSave="937" documentId="8_{85279906-195A-46D7-AC75-BD38038516BE}" xr6:coauthVersionLast="47" xr6:coauthVersionMax="47" xr10:uidLastSave="{62570810-A00B-4C87-A96F-C74D622D202F}"/>
  <bookViews>
    <workbookView xWindow="-109" yWindow="-109" windowWidth="26301" windowHeight="15800"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 name="7. History" sheetId="9" r:id="rId8"/>
  </sheets>
  <definedNames>
    <definedName name="eps" localSheetId="7">#REF!</definedName>
    <definedName name="eps">'2. Macro'!$D$47</definedName>
    <definedName name="Kalba">#REF!</definedName>
    <definedName name="meta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9" l="1"/>
  <c r="W8" i="9"/>
  <c r="T8" i="9"/>
  <c r="Q8" i="9"/>
  <c r="N8" i="9"/>
  <c r="K8" i="9"/>
  <c r="H8" i="9"/>
  <c r="F8" i="9"/>
  <c r="D8" i="9"/>
  <c r="AC7" i="9"/>
  <c r="Z7" i="9"/>
  <c r="W7" i="9"/>
  <c r="T7" i="9"/>
  <c r="Q7" i="9"/>
  <c r="N7" i="9"/>
  <c r="K7" i="9"/>
  <c r="H7" i="9"/>
  <c r="F7" i="9"/>
  <c r="D7" i="9"/>
  <c r="U6" i="9"/>
  <c r="E7" i="7"/>
  <c r="H7" i="4" l="1"/>
  <c r="G7" i="4"/>
  <c r="F11" i="7" l="1"/>
  <c r="F12" i="7"/>
  <c r="N25" i="3" l="1"/>
  <c r="H32" i="4"/>
  <c r="F21" i="7"/>
  <c r="E21" i="7"/>
  <c r="G20" i="6"/>
  <c r="G56" i="6"/>
  <c r="F56" i="6"/>
  <c r="F55" i="6"/>
  <c r="G53" i="6"/>
  <c r="F53" i="6"/>
  <c r="G52" i="6"/>
  <c r="F52" i="6"/>
  <c r="G46" i="6"/>
  <c r="F46" i="6"/>
  <c r="G45" i="6"/>
  <c r="F45" i="6"/>
  <c r="G21" i="6"/>
  <c r="H19" i="4"/>
  <c r="E21" i="4"/>
  <c r="F31" i="5"/>
  <c r="E31" i="5"/>
  <c r="M21" i="3"/>
  <c r="F7" i="4" l="1"/>
  <c r="E7" i="4"/>
  <c r="F6" i="4"/>
  <c r="E6" i="4"/>
  <c r="H6" i="4" l="1"/>
  <c r="G6" i="4"/>
  <c r="O27" i="3" l="1"/>
  <c r="E7" i="5"/>
  <c r="E6" i="5"/>
  <c r="F12" i="4" l="1"/>
  <c r="E12" i="7"/>
  <c r="M23" i="3" l="1"/>
  <c r="E12" i="3"/>
  <c r="F12" i="3"/>
  <c r="G12" i="3"/>
  <c r="H12" i="3"/>
  <c r="I12" i="3"/>
  <c r="J12" i="3"/>
  <c r="K12" i="3"/>
  <c r="L12" i="3"/>
  <c r="I27" i="3" l="1"/>
  <c r="E30" i="5" l="1"/>
  <c r="L35" i="3" l="1"/>
  <c r="L34" i="3"/>
  <c r="L32" i="3"/>
  <c r="L5" i="3" l="1"/>
  <c r="P5" i="3"/>
  <c r="P8" i="3"/>
  <c r="P9" i="3"/>
  <c r="P12" i="3"/>
  <c r="P19" i="3" s="1"/>
  <c r="P13" i="3"/>
  <c r="P17" i="3"/>
  <c r="P18" i="3"/>
  <c r="P27" i="3"/>
  <c r="P21" i="3" l="1"/>
  <c r="P23" i="3"/>
  <c r="P25" i="3"/>
  <c r="P28" i="3"/>
  <c r="P20" i="3"/>
  <c r="P24" i="3" l="1"/>
  <c r="P26" i="3"/>
  <c r="P22" i="3"/>
  <c r="C6" i="2" l="1"/>
  <c r="E27" i="3" l="1"/>
  <c r="E19" i="3"/>
  <c r="E21" i="3" s="1"/>
  <c r="E20" i="3"/>
  <c r="E22" i="3" s="1"/>
  <c r="E28" i="3"/>
  <c r="E34" i="3"/>
  <c r="E36" i="3" s="1"/>
  <c r="E35" i="3"/>
  <c r="F9" i="3"/>
  <c r="F10" i="3"/>
  <c r="F13" i="3"/>
  <c r="F14" i="3"/>
  <c r="F17" i="3"/>
  <c r="F18" i="3"/>
  <c r="O9" i="3"/>
  <c r="O8" i="3"/>
  <c r="P10" i="3" s="1"/>
  <c r="O12" i="3"/>
  <c r="O13" i="3"/>
  <c r="O17" i="3"/>
  <c r="O18" i="3"/>
  <c r="P29" i="3"/>
  <c r="N9" i="3"/>
  <c r="E5" i="3"/>
  <c r="O19" i="3" l="1"/>
  <c r="O23" i="3" s="1"/>
  <c r="P14" i="3"/>
  <c r="O28" i="3"/>
  <c r="P30" i="3" s="1"/>
  <c r="O20" i="3"/>
  <c r="O24" i="3" s="1"/>
  <c r="O25" i="3" l="1"/>
  <c r="O21" i="3"/>
  <c r="O22" i="3"/>
  <c r="O26" i="3"/>
  <c r="G35" i="3" l="1"/>
  <c r="D18" i="3"/>
  <c r="L9" i="3"/>
  <c r="L8" i="3"/>
  <c r="L36" i="3" l="1"/>
  <c r="D26" i="3"/>
  <c r="D38" i="3" s="1"/>
  <c r="F21" i="4" l="1"/>
  <c r="F39" i="6" s="1"/>
  <c r="F34" i="3" l="1"/>
  <c r="G34" i="3"/>
  <c r="H34" i="3"/>
  <c r="I34" i="3"/>
  <c r="J34" i="3"/>
  <c r="K34" i="3"/>
  <c r="L13" i="3" l="1"/>
  <c r="M13" i="3"/>
  <c r="N13" i="3"/>
  <c r="M12" i="3"/>
  <c r="M14" i="3" s="1"/>
  <c r="N12" i="3"/>
  <c r="L14" i="3"/>
  <c r="L10" i="3"/>
  <c r="M9" i="3"/>
  <c r="M8" i="3"/>
  <c r="N8" i="3"/>
  <c r="K9" i="3"/>
  <c r="F5" i="3"/>
  <c r="G5" i="3" s="1"/>
  <c r="H5" i="3" s="1"/>
  <c r="I5" i="3" s="1"/>
  <c r="J5" i="3" s="1"/>
  <c r="K5" i="3" s="1"/>
  <c r="N14" i="3" l="1"/>
  <c r="O14" i="3"/>
  <c r="N10" i="3"/>
  <c r="O10" i="3"/>
  <c r="M10" i="3"/>
  <c r="K36" i="3" l="1"/>
  <c r="K35" i="3"/>
  <c r="H29" i="4" l="1"/>
  <c r="G29" i="4"/>
  <c r="G19" i="4"/>
  <c r="H17" i="4"/>
  <c r="G17" i="4"/>
  <c r="H21" i="4" l="1"/>
  <c r="G21" i="4"/>
  <c r="F40" i="6" l="1"/>
  <c r="F54" i="6" l="1"/>
  <c r="K20" i="3" l="1"/>
  <c r="K22" i="3" s="1"/>
  <c r="F19" i="3"/>
  <c r="F21" i="3" s="1"/>
  <c r="G19" i="3"/>
  <c r="H19" i="3"/>
  <c r="I19" i="3"/>
  <c r="J19" i="3"/>
  <c r="K19" i="3"/>
  <c r="M18" i="3"/>
  <c r="M17" i="3"/>
  <c r="K25" i="3" l="1"/>
  <c r="K23" i="3"/>
  <c r="J23" i="3"/>
  <c r="J25" i="3"/>
  <c r="I23" i="3"/>
  <c r="I25" i="3"/>
  <c r="K24" i="3"/>
  <c r="K26" i="3"/>
  <c r="G17" i="6"/>
  <c r="F17" i="6"/>
  <c r="G18" i="6" s="1"/>
  <c r="G19" i="6" l="1"/>
  <c r="F19" i="6"/>
  <c r="F18" i="6"/>
  <c r="K27" i="3"/>
  <c r="G5" i="4"/>
  <c r="G10" i="4" l="1"/>
  <c r="G31" i="4" s="1"/>
  <c r="G28" i="4"/>
  <c r="G20" i="4"/>
  <c r="G18" i="4"/>
  <c r="G24" i="4"/>
  <c r="D19" i="3" l="1"/>
  <c r="K13" i="3" l="1"/>
  <c r="L17" i="3" l="1"/>
  <c r="N17" i="3"/>
  <c r="L18" i="3"/>
  <c r="N18" i="3"/>
  <c r="K17" i="3"/>
  <c r="L19" i="3" l="1"/>
  <c r="M27" i="3"/>
  <c r="L20" i="3"/>
  <c r="L27" i="3"/>
  <c r="N27" i="3"/>
  <c r="O29" i="3" s="1"/>
  <c r="G13" i="3"/>
  <c r="H13" i="3"/>
  <c r="I13" i="3"/>
  <c r="J13" i="3"/>
  <c r="G10" i="3"/>
  <c r="H10" i="3"/>
  <c r="I10" i="3"/>
  <c r="J10" i="3"/>
  <c r="K10" i="3"/>
  <c r="G9" i="3"/>
  <c r="H9" i="3"/>
  <c r="I9" i="3"/>
  <c r="J9" i="3"/>
  <c r="L24" i="3" l="1"/>
  <c r="L26" i="3"/>
  <c r="L22" i="3"/>
  <c r="L23" i="3"/>
  <c r="L25" i="3"/>
  <c r="L21" i="3"/>
  <c r="M20" i="3"/>
  <c r="M19" i="3"/>
  <c r="H18" i="4"/>
  <c r="H24" i="4"/>
  <c r="H30" i="4" s="1"/>
  <c r="H20" i="4"/>
  <c r="H28" i="4"/>
  <c r="M29" i="3"/>
  <c r="N29" i="3"/>
  <c r="H5" i="4"/>
  <c r="M25" i="3" l="1"/>
  <c r="G32" i="4" s="1"/>
  <c r="M22" i="3"/>
  <c r="M24" i="3"/>
  <c r="M26" i="3"/>
  <c r="N19" i="3"/>
  <c r="N20" i="3"/>
  <c r="G17" i="3"/>
  <c r="N24" i="3" l="1"/>
  <c r="N26" i="3"/>
  <c r="N23" i="3"/>
  <c r="N22" i="3"/>
  <c r="E11" i="7"/>
  <c r="N21" i="3"/>
  <c r="K28" i="3"/>
  <c r="K21" i="3"/>
  <c r="C7" i="2" l="1"/>
  <c r="J20" i="3" l="1"/>
  <c r="J26" i="3" l="1"/>
  <c r="J24" i="3"/>
  <c r="F43" i="6"/>
  <c r="F23" i="5" l="1"/>
  <c r="E23" i="5"/>
  <c r="D12" i="2" l="1"/>
  <c r="C12" i="2"/>
  <c r="E36" i="5"/>
  <c r="E39" i="5"/>
  <c r="E38" i="5"/>
  <c r="E37" i="5"/>
  <c r="E32" i="5"/>
  <c r="F18" i="5" l="1"/>
  <c r="E18" i="5"/>
  <c r="E17" i="5"/>
  <c r="E19" i="5" s="1"/>
  <c r="F17" i="5"/>
  <c r="F19" i="5" s="1"/>
  <c r="E40" i="5"/>
  <c r="F44" i="6" l="1"/>
  <c r="G22" i="6" l="1"/>
  <c r="G68" i="6"/>
  <c r="I68" i="6" s="1"/>
  <c r="F67" i="6" l="1"/>
  <c r="H67" i="6" s="1"/>
  <c r="H12" i="4" l="1"/>
  <c r="G12" i="4"/>
  <c r="F24" i="7" l="1"/>
  <c r="H22" i="4"/>
  <c r="G40" i="6"/>
  <c r="G54" i="6" s="1"/>
  <c r="H10" i="4"/>
  <c r="H31" i="4" s="1"/>
  <c r="J36" i="3"/>
  <c r="I36" i="3"/>
  <c r="H36" i="3"/>
  <c r="G36" i="3"/>
  <c r="F36" i="3"/>
  <c r="J35" i="3"/>
  <c r="I35" i="3"/>
  <c r="H35" i="3"/>
  <c r="F35" i="3"/>
  <c r="K32" i="3"/>
  <c r="J32" i="3"/>
  <c r="I32" i="3"/>
  <c r="H32" i="3"/>
  <c r="G32" i="3"/>
  <c r="F32" i="3"/>
  <c r="D30" i="3"/>
  <c r="D29" i="3"/>
  <c r="J28" i="3"/>
  <c r="K30" i="3" s="1"/>
  <c r="I28" i="3"/>
  <c r="H28" i="3"/>
  <c r="G28" i="3"/>
  <c r="F28" i="3"/>
  <c r="F30" i="3" s="1"/>
  <c r="D28" i="3"/>
  <c r="L29" i="3"/>
  <c r="J27" i="3"/>
  <c r="K29" i="3" s="1"/>
  <c r="H27" i="3"/>
  <c r="G27" i="3"/>
  <c r="F27" i="3"/>
  <c r="F29" i="3" s="1"/>
  <c r="D27" i="3"/>
  <c r="D39" i="3"/>
  <c r="D25" i="3"/>
  <c r="D24" i="3"/>
  <c r="D23" i="3"/>
  <c r="D22" i="3"/>
  <c r="D21" i="3"/>
  <c r="D31" i="3" s="1"/>
  <c r="D33" i="3" s="1"/>
  <c r="D34" i="3" s="1"/>
  <c r="D36" i="3" s="1"/>
  <c r="I20" i="3"/>
  <c r="H20" i="3"/>
  <c r="G20" i="3"/>
  <c r="G22" i="3" s="1"/>
  <c r="F20" i="3"/>
  <c r="D20" i="3"/>
  <c r="K18" i="3"/>
  <c r="J18" i="3"/>
  <c r="I18" i="3"/>
  <c r="H18" i="3"/>
  <c r="G18" i="3"/>
  <c r="J17" i="3"/>
  <c r="I17" i="3"/>
  <c r="H17" i="3"/>
  <c r="D17" i="3"/>
  <c r="K14" i="3"/>
  <c r="J14" i="3"/>
  <c r="I14" i="3"/>
  <c r="H14" i="3"/>
  <c r="G14" i="3"/>
  <c r="D13" i="3"/>
  <c r="D11" i="3"/>
  <c r="D10" i="3"/>
  <c r="D9" i="3"/>
  <c r="F6" i="7" l="1"/>
  <c r="F7" i="7"/>
  <c r="D32" i="3"/>
  <c r="I24" i="3"/>
  <c r="I26" i="3"/>
  <c r="D12" i="3"/>
  <c r="D14" i="3" s="1"/>
  <c r="D35" i="3"/>
  <c r="G8" i="6"/>
  <c r="G9" i="6" s="1"/>
  <c r="F8" i="6"/>
  <c r="F9" i="6" s="1"/>
  <c r="F14" i="6"/>
  <c r="F15" i="6" s="1"/>
  <c r="G39" i="6"/>
  <c r="G67" i="6"/>
  <c r="I67" i="6" s="1"/>
  <c r="G14" i="6"/>
  <c r="G15" i="6" s="1"/>
  <c r="I29" i="3"/>
  <c r="H30" i="3"/>
  <c r="J21" i="3"/>
  <c r="G29" i="3"/>
  <c r="J30" i="3"/>
  <c r="G26" i="4"/>
  <c r="H26" i="4"/>
  <c r="G22" i="4"/>
  <c r="I30" i="3"/>
  <c r="J29" i="3"/>
  <c r="H29" i="3"/>
  <c r="G30" i="3"/>
  <c r="O5" i="3"/>
  <c r="N5" i="3"/>
  <c r="M5" i="3"/>
  <c r="H22" i="3"/>
  <c r="G21" i="3"/>
  <c r="I22" i="3"/>
  <c r="H21" i="3"/>
  <c r="F22" i="3"/>
  <c r="J22" i="3"/>
  <c r="I21" i="3"/>
  <c r="F16" i="6" l="1"/>
  <c r="F23" i="7"/>
  <c r="G55" i="6"/>
  <c r="F66" i="6"/>
  <c r="H66" i="6" s="1"/>
  <c r="F22" i="7"/>
  <c r="G66" i="6"/>
  <c r="I66" i="6" s="1"/>
  <c r="G16" i="6"/>
  <c r="F20" i="6"/>
  <c r="F21" i="6" s="1"/>
  <c r="F64" i="6"/>
  <c r="F10" i="6"/>
  <c r="G64" i="6"/>
  <c r="G10" i="6"/>
  <c r="E13" i="7"/>
  <c r="F13" i="7"/>
  <c r="F15" i="7" l="1"/>
  <c r="F14" i="7"/>
  <c r="F16" i="7" s="1"/>
  <c r="F9" i="7"/>
  <c r="I64" i="6"/>
  <c r="H64" i="6"/>
  <c r="F22" i="6"/>
  <c r="F68" i="6"/>
  <c r="H68" i="6" s="1"/>
  <c r="F8" i="7" l="1"/>
  <c r="F17" i="7"/>
  <c r="D27" i="2" s="1"/>
  <c r="F10" i="7"/>
  <c r="D26" i="2" s="1"/>
  <c r="D25" i="2"/>
  <c r="F18" i="7" l="1"/>
  <c r="D28" i="2" s="1"/>
  <c r="L28" i="3" l="1"/>
  <c r="L30" i="3" s="1"/>
  <c r="E24" i="4" l="1"/>
  <c r="E30" i="4" s="1"/>
  <c r="E14" i="4"/>
  <c r="E16" i="4"/>
  <c r="M28" i="3"/>
  <c r="M30" i="3" s="1"/>
  <c r="E20" i="4"/>
  <c r="E18" i="4"/>
  <c r="E12" i="4"/>
  <c r="E32" i="4" s="1"/>
  <c r="E22" i="4"/>
  <c r="E26" i="4"/>
  <c r="E28" i="4"/>
  <c r="E10" i="4"/>
  <c r="E31" i="4" s="1"/>
  <c r="E8" i="4"/>
  <c r="E29" i="5" l="1"/>
  <c r="F8" i="4"/>
  <c r="F16" i="4"/>
  <c r="F14" i="4"/>
  <c r="E23" i="7"/>
  <c r="F22" i="4"/>
  <c r="F18" i="4"/>
  <c r="F24" i="4"/>
  <c r="F30" i="4" s="1"/>
  <c r="F28" i="4"/>
  <c r="F32" i="4" s="1"/>
  <c r="F10" i="4"/>
  <c r="F31" i="4" s="1"/>
  <c r="F20" i="4"/>
  <c r="F26" i="4"/>
  <c r="N28" i="3"/>
  <c r="E28" i="5" l="1"/>
  <c r="E22" i="7"/>
  <c r="N30" i="3"/>
  <c r="O30" i="3"/>
  <c r="E24" i="7"/>
  <c r="F11" i="6"/>
  <c r="F12" i="6" s="1"/>
  <c r="E6" i="7" l="1"/>
  <c r="E9" i="7" s="1"/>
  <c r="E15" i="7"/>
  <c r="E14" i="7"/>
  <c r="F13" i="6"/>
  <c r="F65" i="6"/>
  <c r="H65" i="6" s="1"/>
  <c r="F23" i="6"/>
  <c r="E8" i="7" l="1"/>
  <c r="F69" i="6"/>
  <c r="F24" i="6" s="1"/>
  <c r="C15" i="2" s="1"/>
  <c r="E16" i="7"/>
  <c r="E17" i="7"/>
  <c r="E10" i="7"/>
  <c r="C26" i="2" s="1"/>
  <c r="C25" i="2"/>
  <c r="F28" i="6"/>
  <c r="F31" i="6" s="1"/>
  <c r="F25" i="6"/>
  <c r="C14" i="2"/>
  <c r="F29" i="6"/>
  <c r="F34" i="6" l="1"/>
  <c r="C21" i="2" s="1"/>
  <c r="F32" i="6"/>
  <c r="C19" i="2" s="1"/>
  <c r="E18" i="7"/>
  <c r="C28" i="2" s="1"/>
  <c r="C27" i="2"/>
  <c r="C18" i="2"/>
  <c r="C22" i="2"/>
  <c r="F33" i="6"/>
  <c r="C16" i="2"/>
  <c r="F26" i="6"/>
  <c r="C17" i="2" s="1"/>
  <c r="F30" i="6"/>
  <c r="C23" i="2" l="1"/>
  <c r="C20" i="2"/>
  <c r="G14" i="4" l="1"/>
  <c r="H14" i="4"/>
  <c r="G8" i="4"/>
  <c r="G30" i="4" s="1"/>
  <c r="H8" i="4"/>
  <c r="H16" i="4"/>
  <c r="G43" i="6"/>
  <c r="G16" i="4"/>
  <c r="G44" i="6"/>
  <c r="F28" i="5" l="1"/>
  <c r="F14" i="5" s="1"/>
  <c r="F16" i="5" s="1"/>
  <c r="F29" i="5"/>
  <c r="G11" i="6"/>
  <c r="E15" i="5" l="1"/>
  <c r="E8" i="5"/>
  <c r="E11" i="5"/>
  <c r="E13" i="5" s="1"/>
  <c r="E12" i="5"/>
  <c r="E9" i="5"/>
  <c r="E14" i="5"/>
  <c r="E16" i="5" s="1"/>
  <c r="F9" i="5"/>
  <c r="F15" i="5"/>
  <c r="F8" i="5"/>
  <c r="F10" i="5" s="1"/>
  <c r="F11" i="5"/>
  <c r="F13" i="5" s="1"/>
  <c r="F12" i="5"/>
  <c r="G65" i="6"/>
  <c r="G13" i="6"/>
  <c r="G23" i="6"/>
  <c r="G12" i="6"/>
  <c r="E10" i="5" l="1"/>
  <c r="E20" i="5"/>
  <c r="F20" i="5"/>
  <c r="D9" i="2" s="1"/>
  <c r="G25" i="6"/>
  <c r="D14" i="2"/>
  <c r="G28" i="6"/>
  <c r="G31" i="6" s="1"/>
  <c r="I65" i="6"/>
  <c r="G69" i="6"/>
  <c r="G32" i="6" l="1"/>
  <c r="G29" i="6"/>
  <c r="D19" i="2"/>
  <c r="E21" i="5"/>
  <c r="C10" i="2" s="1"/>
  <c r="F21" i="5"/>
  <c r="D10" i="2" s="1"/>
  <c r="E22" i="5"/>
  <c r="C11" i="2" s="1"/>
  <c r="C9" i="2"/>
  <c r="F22" i="5"/>
  <c r="D11" i="2" s="1"/>
  <c r="G24" i="6"/>
  <c r="D15" i="2" s="1"/>
  <c r="D18" i="2"/>
  <c r="D22" i="2"/>
  <c r="G33" i="6"/>
  <c r="G30" i="6"/>
  <c r="D16" i="2"/>
  <c r="G34" i="6"/>
  <c r="D21" i="2" s="1"/>
  <c r="G26" i="6"/>
  <c r="D17" i="2" s="1"/>
  <c r="D20" i="2" l="1"/>
  <c r="D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<sst xmlns="http://schemas.openxmlformats.org/spreadsheetml/2006/main" count="489" uniqueCount="341">
  <si>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</si>
  <si>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</si>
  <si>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</si>
  <si>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</si>
  <si>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</si>
  <si>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</si>
  <si>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</si>
  <si>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</si>
  <si>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</si>
  <si>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</si>
  <si>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</si>
  <si>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</si>
  <si>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</si>
  <si>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</si>
  <si>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</si>
  <si>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</si>
  <si>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</si>
  <si>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</si>
  <si>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</si>
  <si>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</si>
  <si>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</si>
  <si>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</si>
  <si>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</si>
  <si>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</si>
  <si>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</si>
  <si>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</si>
  <si>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</si>
  <si>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</si>
  <si>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</si>
  <si>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</si>
  <si>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</si>
  <si>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</si>
  <si>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</si>
  <si>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</si>
  <si>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</si>
  <si>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</si>
  <si>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Is GG expenditure growth limiting rule valid?</t>
  </si>
  <si>
    <t>VS priskiriamų biudžetų taisyklės / Rules for the budgets attributable to GG sector</t>
  </si>
  <si>
    <t>Netikrinama</t>
  </si>
  <si>
    <t>Taisyklė PSDF struktūriniam biudžetui</t>
  </si>
  <si>
    <t>Rule for NHIF structural budget</t>
  </si>
  <si>
    <t>Taisyklė VSDF struktūriniam biudžetui</t>
  </si>
  <si>
    <t>Rule for SSIF structural budget</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</si>
  <si>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</si>
  <si>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</si>
  <si>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</si>
  <si>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</si>
  <si>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</si>
  <si>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</si>
  <si>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</si>
  <si>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</si>
  <si>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</si>
  <si>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</si>
  <si>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t>Laikas / Time</t>
  </si>
  <si>
    <t>T</t>
  </si>
  <si>
    <t>t−2</t>
  </si>
  <si>
    <t>t−1</t>
  </si>
  <si>
    <t>t</t>
  </si>
  <si>
    <t>t+1</t>
  </si>
  <si>
    <t>t+2</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</si>
  <si>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</si>
  <si>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</si>
  <si>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</si>
  <si>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</si>
  <si>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</si>
  <si>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</si>
  <si>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</si>
  <si>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</si>
  <si>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</si>
  <si>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</si>
  <si>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</si>
  <si>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</si>
  <si>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</si>
  <si>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</si>
  <si>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</si>
  <si>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</si>
  <si>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</si>
  <si>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</si>
  <si>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</si>
  <si>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</si>
  <si>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</si>
  <si>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</si>
  <si>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</si>
  <si>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</si>
  <si>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</si>
  <si>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</si>
  <si>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</si>
  <si>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</si>
  <si>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</si>
  <si>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</si>
  <si>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</si>
  <si>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</si>
  <si>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</si>
  <si>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</si>
  <si>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</si>
  <si>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</si>
  <si>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</si>
  <si>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Finansų ministerija (FM)</t>
  </si>
  <si>
    <t>Valstybės kontrolės, vykdančios fiskalinės institucijos funkcijas, skaičiavimai</t>
  </si>
  <si>
    <t>ERS – ekonominės raidos scenarijus</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</si>
  <si>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</si>
  <si>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</si>
  <si>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</si>
  <si>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</si>
  <si>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</si>
  <si>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</si>
  <si>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</si>
  <si>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</si>
  <si>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</si>
  <si>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</si>
  <si>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</si>
  <si>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</si>
  <si>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</si>
  <si>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</si>
  <si>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</si>
  <si>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</si>
  <si>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</si>
  <si>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</si>
  <si>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</si>
  <si>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</si>
  <si>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</si>
  <si>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</si>
  <si>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</si>
  <si>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</si>
  <si>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</si>
  <si>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</si>
  <si>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</si>
  <si>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</si>
  <si>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</si>
  <si>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</si>
  <si>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</si>
  <si>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</si>
  <si>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</si>
  <si>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</si>
  <si>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</si>
  <si>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</si>
  <si>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</si>
  <si>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</si>
  <si>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</si>
  <si>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</si>
  <si>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</si>
  <si>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</si>
  <si>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</si>
  <si>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</si>
  <si>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</si>
  <si>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</si>
  <si>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</si>
  <si>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</si>
  <si>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</si>
  <si>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</si>
  <si>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</si>
  <si>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t>VS yra faktiškai perteklinis t metais pagal struktūrinį balansą</t>
  </si>
  <si>
    <t>SB(t) &gt; 0*</t>
  </si>
  <si>
    <t xml:space="preserve">In terms of structural balance GG sector is actually in surplus   </t>
  </si>
  <si>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</si>
  <si>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</si>
  <si>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</si>
  <si>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</si>
  <si>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</si>
  <si>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</si>
  <si>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</si>
  <si>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</si>
  <si>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</si>
  <si>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</si>
  <si>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</si>
  <si>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</si>
  <si>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</si>
  <si>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</si>
  <si>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</si>
  <si>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</si>
  <si>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</si>
  <si>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</si>
  <si>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</si>
  <si>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</si>
  <si>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</si>
  <si>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</si>
  <si>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</si>
  <si>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</si>
  <si>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</si>
  <si>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</si>
  <si>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</si>
  <si>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</si>
  <si>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</si>
  <si>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</si>
  <si>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</si>
  <si>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</si>
  <si>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</si>
  <si>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t>Numatomas VS balanso rodiklio postūmis yra teigiamas ir sudaro bent 1,0 procentinį punktą BVP</t>
  </si>
  <si>
    <t>Projected GG sector balance indicator adjustment is positive and makes up at least 1.0 percentage point of GDP</t>
  </si>
  <si>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</si>
  <si>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</si>
  <si>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t>Keičiant einamųjų metų bet kurio iš VS priskiriamų biudžetų, kurių kiekvieno atskirai planuojami asignavimai viršija 3 procentus BVP to meto kainomis, pajamas ar išlaidas, pakeistas VS balansas nepablogės, palyginti su buvusiu prieš keitimą</t>
  </si>
  <si>
    <t>If planned current year GG sector budgets, the planned appropriations of each of which exceed 3 % of GDP at current prices, are subject to amendment,  the adjusted aggregate balances of the GG budgets is not worse than the one before the amendment</t>
  </si>
  <si>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</si>
  <si>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</si>
  <si>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</si>
  <si>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</si>
  <si>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t>at year t the GG expenditure growth limiting rule is not applied when at least one of the  A1–A5 escape clauses emerges</t>
  </si>
  <si>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</si>
  <si>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</si>
  <si>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Šaltinis: KĮ 3 straipsnis 3 dalis</t>
  </si>
  <si>
    <t>Source: CL Article 3(3)</t>
  </si>
  <si>
    <t>AV3(t) =</t>
  </si>
  <si>
    <t>AV3(t–1) =</t>
  </si>
  <si>
    <t>ES(t) =</t>
  </si>
  <si>
    <t>ES(t–1) =</t>
  </si>
  <si>
    <t>VI(t) =</t>
  </si>
  <si>
    <t>VI(t–1) =</t>
  </si>
  <si>
    <t>B(t–1)–B(t–2) =</t>
  </si>
  <si>
    <t>BP(t–1)–BP(t–2) =</t>
  </si>
  <si>
    <t>P1(t)/P1(t–1) =</t>
  </si>
  <si>
    <t>P2(t)/P2(t–1) =</t>
  </si>
  <si>
    <t>P3(t)/P3(t–1) =</t>
  </si>
  <si>
    <t>P4(t)/P4(t–1) =</t>
  </si>
  <si>
    <t>ΔYN(t–1) =</t>
  </si>
  <si>
    <t>AP(t)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</si>
  <si>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</si>
  <si>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</si>
  <si>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</si>
  <si>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</si>
  <si>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</si>
  <si>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</si>
  <si>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</si>
  <si>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</si>
  <si>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</si>
  <si>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</si>
  <si>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</si>
  <si>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</si>
  <si>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</si>
  <si>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</si>
  <si>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</si>
  <si>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</si>
  <si>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</si>
  <si>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</si>
  <si>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</si>
  <si>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</si>
  <si>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t>Rule for VSDF structural budget</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</si>
  <si>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</si>
  <si>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</si>
  <si>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</si>
  <si>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</si>
  <si>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</si>
  <si>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</si>
  <si>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t>Nuo 2018 m. sausio 1 d. PSDF biudžetas turi būti planuojamas, tvirtinamas, keičiamas ir vykdomas taip, kad, sprendžiant pagal to biudžeto struktūrinį balanso rodiklį, apskaičiuotą kaupiamuoju principu, jis būtų perteklinis arba subalansuotas</t>
  </si>
  <si>
    <t>t−7</t>
  </si>
  <si>
    <t>t−6</t>
  </si>
  <si>
    <t>t−5</t>
  </si>
  <si>
    <t>t−4</t>
  </si>
  <si>
    <t>t−3</t>
  </si>
  <si>
    <t>B3(t) ≥ B3**(t)</t>
  </si>
  <si>
    <t>B3**(t) =</t>
  </si>
  <si>
    <t>B3(t) =</t>
  </si>
  <si>
    <t>B(t) − B(t–1) ≥ 1</t>
  </si>
  <si>
    <r>
      <t>SUVESTINĖ /</t>
    </r>
    <r>
      <rPr>
        <i/>
        <sz val="12"/>
        <color theme="7" tint="-0.499984740745262"/>
        <rFont val="Arial"/>
        <family val="2"/>
        <charset val="186"/>
      </rPr>
      <t xml:space="preserve"> </t>
    </r>
    <r>
      <rPr>
        <sz val="12"/>
        <color theme="7" tint="-0.499984740745262"/>
        <rFont val="Arial"/>
        <family val="2"/>
        <charset val="186"/>
      </rPr>
      <t>SUMMARY</t>
    </r>
  </si>
  <si>
    <r>
      <t>t metais, išskyrus metus, kuriais susidaro išskirtinės aplinkybės, turi būti tenkinama bent viena iš  S</t>
    </r>
    <r>
      <rPr>
        <b/>
        <vertAlign val="subscript"/>
        <sz val="11"/>
        <color theme="7" tint="-0.499984740745262"/>
        <rFont val="Arial"/>
        <family val="2"/>
        <charset val="186"/>
      </rPr>
      <t>1</t>
    </r>
    <r>
      <rPr>
        <b/>
        <sz val="11"/>
        <color theme="7" tint="-0.499984740745262"/>
        <rFont val="Arial"/>
        <family val="2"/>
        <charset val="186"/>
      </rPr>
      <t>–S</t>
    </r>
    <r>
      <rPr>
        <b/>
        <vertAlign val="subscript"/>
        <sz val="11"/>
        <color theme="7" tint="-0.499984740745262"/>
        <rFont val="Arial"/>
        <family val="2"/>
        <charset val="186"/>
      </rPr>
      <t xml:space="preserve">4 </t>
    </r>
    <r>
      <rPr>
        <b/>
        <sz val="11"/>
        <color theme="7" tint="-0.499984740745262"/>
        <rFont val="Arial"/>
        <family val="2"/>
        <charset val="186"/>
      </rPr>
      <t xml:space="preserve">sąlygų </t>
    </r>
  </si>
  <si>
    <r>
      <t xml:space="preserve">Nr.
</t>
    </r>
    <r>
      <rPr>
        <i/>
        <sz val="11"/>
        <color theme="7" tint="-0.499984740745262"/>
        <rFont val="Arial"/>
        <family val="2"/>
        <charset val="186"/>
      </rPr>
      <t>No.</t>
    </r>
  </si>
  <si>
    <r>
      <t xml:space="preserve">Taisyklė
</t>
    </r>
    <r>
      <rPr>
        <i/>
        <sz val="11"/>
        <color theme="7" tint="-0.499984740745262"/>
        <rFont val="Arial"/>
        <family val="2"/>
        <charset val="186"/>
      </rPr>
      <t>Rule</t>
    </r>
  </si>
  <si>
    <r>
      <t xml:space="preserve">Formulė 
</t>
    </r>
    <r>
      <rPr>
        <i/>
        <sz val="11"/>
        <color theme="7" tint="-0.499984740745262"/>
        <rFont val="Arial"/>
        <family val="2"/>
        <charset val="186"/>
      </rPr>
      <t>Formula</t>
    </r>
  </si>
  <si>
    <r>
      <t xml:space="preserve">Išvada
</t>
    </r>
    <r>
      <rPr>
        <i/>
        <sz val="11"/>
        <color theme="7" tint="-0.499984740745262"/>
        <rFont val="Arial"/>
        <family val="2"/>
        <charset val="186"/>
      </rPr>
      <t>Conclusion</t>
    </r>
  </si>
  <si>
    <r>
      <t>t metais, VS išlaidų augimo ribojimo taisyklė netaikoma, kai susidaro bent viena iš A</t>
    </r>
    <r>
      <rPr>
        <b/>
        <vertAlign val="subscript"/>
        <sz val="11"/>
        <color theme="7" tint="-0.499984740745262"/>
        <rFont val="Arial"/>
        <family val="2"/>
        <charset val="186"/>
      </rPr>
      <t>1</t>
    </r>
    <r>
      <rPr>
        <b/>
        <sz val="11"/>
        <color theme="7" tint="-0.499984740745262"/>
        <rFont val="Arial"/>
        <family val="2"/>
        <charset val="186"/>
      </rPr>
      <t>–A</t>
    </r>
    <r>
      <rPr>
        <b/>
        <vertAlign val="subscript"/>
        <sz val="11"/>
        <color theme="7" tint="-0.499984740745262"/>
        <rFont val="Arial"/>
        <family val="2"/>
        <charset val="186"/>
      </rPr>
      <t>5</t>
    </r>
    <r>
      <rPr>
        <b/>
        <sz val="11"/>
        <color theme="7" tint="-0.499984740745262"/>
        <rFont val="Arial"/>
        <family val="2"/>
        <charset val="186"/>
      </rPr>
      <t xml:space="preserve"> aplinkybių
</t>
    </r>
  </si>
  <si>
    <r>
      <t>T</t>
    </r>
    <r>
      <rPr>
        <vertAlign val="subscript"/>
        <sz val="11"/>
        <color theme="7" tint="-0.499984740745262"/>
        <rFont val="Arial"/>
        <family val="2"/>
        <charset val="186"/>
      </rPr>
      <t>32</t>
    </r>
  </si>
  <si>
    <r>
      <t>T</t>
    </r>
    <r>
      <rPr>
        <vertAlign val="subscript"/>
        <sz val="11"/>
        <color theme="7" tint="-0.499984740745262"/>
        <rFont val="Arial"/>
        <family val="2"/>
        <charset val="186"/>
      </rPr>
      <t>4</t>
    </r>
  </si>
  <si>
    <r>
      <t xml:space="preserve">Nr.
</t>
    </r>
    <r>
      <rPr>
        <i/>
        <sz val="11"/>
        <color rgb="FF000000"/>
        <rFont val="Arial"/>
        <family val="2"/>
      </rPr>
      <t>No.</t>
    </r>
  </si>
  <si>
    <r>
      <t xml:space="preserve">Taisyklė
</t>
    </r>
    <r>
      <rPr>
        <i/>
        <sz val="11"/>
        <color rgb="FF000000"/>
        <rFont val="Arial"/>
        <family val="2"/>
      </rPr>
      <t>Rule</t>
    </r>
  </si>
  <si>
    <r>
      <t xml:space="preserve">Formulė
</t>
    </r>
    <r>
      <rPr>
        <i/>
        <sz val="11"/>
        <color rgb="FF000000"/>
        <rFont val="Arial"/>
        <family val="2"/>
      </rPr>
      <t>Formula</t>
    </r>
  </si>
  <si>
    <r>
      <t xml:space="preserve">Išvada
</t>
    </r>
    <r>
      <rPr>
        <i/>
        <sz val="11"/>
        <rFont val="Arial"/>
        <family val="2"/>
      </rPr>
      <t>Conclusion</t>
    </r>
  </si>
  <si>
    <r>
      <rPr>
        <sz val="11"/>
        <color theme="7" tint="-0.499984740745262"/>
        <rFont val="Arial"/>
        <family val="2"/>
        <charset val="186"/>
      </rPr>
      <t>A</t>
    </r>
    <r>
      <rPr>
        <vertAlign val="subscript"/>
        <sz val="11"/>
        <color theme="7" tint="-0.499984740745262"/>
        <rFont val="Arial"/>
        <family val="2"/>
        <charset val="186"/>
      </rPr>
      <t>1</t>
    </r>
  </si>
  <si>
    <r>
      <rPr>
        <sz val="11"/>
        <color theme="7" tint="-0.499984740745262"/>
        <rFont val="Arial"/>
        <family val="2"/>
        <charset val="186"/>
      </rPr>
      <t>A</t>
    </r>
    <r>
      <rPr>
        <vertAlign val="subscript"/>
        <sz val="11"/>
        <color theme="7" tint="-0.499984740745262"/>
        <rFont val="Arial"/>
        <family val="2"/>
        <charset val="186"/>
      </rPr>
      <t>2</t>
    </r>
  </si>
  <si>
    <r>
      <rPr>
        <sz val="11"/>
        <color theme="7" tint="-0.499984740745262"/>
        <rFont val="Arial"/>
        <family val="2"/>
        <charset val="186"/>
      </rPr>
      <t>A</t>
    </r>
    <r>
      <rPr>
        <vertAlign val="subscript"/>
        <sz val="11"/>
        <color theme="7" tint="-0.499984740745262"/>
        <rFont val="Arial"/>
        <family val="2"/>
        <charset val="186"/>
      </rPr>
      <t>3</t>
    </r>
  </si>
  <si>
    <r>
      <rPr>
        <sz val="11"/>
        <color theme="7" tint="-0.499984740745262"/>
        <rFont val="Arial"/>
        <family val="2"/>
        <charset val="186"/>
      </rPr>
      <t>A</t>
    </r>
    <r>
      <rPr>
        <vertAlign val="subscript"/>
        <sz val="11"/>
        <color theme="7" tint="-0.499984740745262"/>
        <rFont val="Arial"/>
        <family val="2"/>
        <charset val="186"/>
      </rPr>
      <t>4</t>
    </r>
  </si>
  <si>
    <r>
      <rPr>
        <sz val="11"/>
        <color theme="7" tint="-0.499984740745262"/>
        <rFont val="Arial"/>
        <family val="2"/>
        <charset val="186"/>
      </rPr>
      <t>A</t>
    </r>
    <r>
      <rPr>
        <vertAlign val="subscript"/>
        <sz val="11"/>
        <color theme="7" tint="-0.499984740745262"/>
        <rFont val="Arial"/>
        <family val="2"/>
        <charset val="186"/>
      </rPr>
      <t>5</t>
    </r>
  </si>
  <si>
    <r>
      <t>T</t>
    </r>
    <r>
      <rPr>
        <vertAlign val="subscript"/>
        <sz val="11"/>
        <color theme="7" tint="-0.499984740745262"/>
        <rFont val="Arial"/>
        <family val="2"/>
        <charset val="186"/>
      </rPr>
      <t>1</t>
    </r>
  </si>
  <si>
    <r>
      <t>S</t>
    </r>
    <r>
      <rPr>
        <vertAlign val="subscript"/>
        <sz val="11"/>
        <color theme="7" tint="-0.499984740745262"/>
        <rFont val="Arial"/>
        <family val="2"/>
        <charset val="186"/>
      </rPr>
      <t>1</t>
    </r>
  </si>
  <si>
    <r>
      <t>S</t>
    </r>
    <r>
      <rPr>
        <vertAlign val="subscript"/>
        <sz val="11"/>
        <color theme="7" tint="-0.499984740745262"/>
        <rFont val="Arial"/>
        <family val="2"/>
        <charset val="186"/>
      </rPr>
      <t>2</t>
    </r>
    <r>
      <rPr>
        <sz val="11"/>
        <color theme="1"/>
        <rFont val="Calibri"/>
        <family val="2"/>
        <charset val="186"/>
        <scheme val="minor"/>
      </rPr>
      <t/>
    </r>
  </si>
  <si>
    <r>
      <t>S</t>
    </r>
    <r>
      <rPr>
        <vertAlign val="subscript"/>
        <sz val="11"/>
        <color theme="7" tint="-0.499984740745262"/>
        <rFont val="Arial"/>
        <family val="2"/>
        <charset val="186"/>
      </rPr>
      <t>3</t>
    </r>
    <r>
      <rPr>
        <sz val="11"/>
        <color theme="1"/>
        <rFont val="Calibri"/>
        <family val="2"/>
        <charset val="186"/>
        <scheme val="minor"/>
      </rPr>
      <t/>
    </r>
  </si>
  <si>
    <r>
      <t>S</t>
    </r>
    <r>
      <rPr>
        <vertAlign val="subscript"/>
        <sz val="11"/>
        <color theme="7" tint="-0.499984740745262"/>
        <rFont val="Arial"/>
        <family val="2"/>
        <charset val="186"/>
      </rPr>
      <t>4</t>
    </r>
    <r>
      <rPr>
        <sz val="11"/>
        <color theme="1"/>
        <rFont val="Calibri"/>
        <family val="2"/>
        <charset val="186"/>
        <scheme val="minor"/>
      </rPr>
      <t/>
    </r>
  </si>
  <si>
    <r>
      <t xml:space="preserve">7. Istorinis taisyklių laikymasis
</t>
    </r>
    <r>
      <rPr>
        <b/>
        <i/>
        <sz val="11"/>
        <color theme="7" tint="-0.499984740745262"/>
        <rFont val="Arial"/>
        <family val="2"/>
        <charset val="186"/>
      </rPr>
      <t>Historical adherence to fiscal rules</t>
    </r>
    <r>
      <rPr>
        <b/>
        <sz val="11"/>
        <color theme="7" tint="-0.499984740745262"/>
        <rFont val="Arial"/>
        <family val="2"/>
        <charset val="186"/>
      </rPr>
      <t xml:space="preserve">
</t>
    </r>
  </si>
  <si>
    <r>
      <t xml:space="preserve">Taisyklė
</t>
    </r>
    <r>
      <rPr>
        <i/>
        <sz val="11"/>
        <color rgb="FF000000"/>
        <rFont val="Arial"/>
        <family val="2"/>
        <charset val="186"/>
      </rPr>
      <t>Rule</t>
    </r>
  </si>
  <si>
    <r>
      <t xml:space="preserve">Institucija
</t>
    </r>
    <r>
      <rPr>
        <i/>
        <sz val="10"/>
        <color rgb="FF000000"/>
        <rFont val="Arial"/>
        <family val="2"/>
        <charset val="186"/>
      </rPr>
      <t>Institution</t>
    </r>
  </si>
  <si>
    <t>ex-ante</t>
  </si>
  <si>
    <t>ex-post</t>
  </si>
  <si>
    <t>interim</t>
  </si>
  <si>
    <t xml:space="preserve">interim </t>
  </si>
  <si>
    <t xml:space="preserve">ex-post </t>
  </si>
  <si>
    <t xml:space="preserve">ex-ante </t>
  </si>
  <si>
    <t>Vertinimo data
Date of asessment</t>
  </si>
  <si>
    <t>Atotrūkis nuo potencialo, proc. pot. BVP</t>
  </si>
  <si>
    <t>Output gap (OG), % pot. GDP</t>
  </si>
  <si>
    <t>Perteklinio VS taisyklė</t>
  </si>
  <si>
    <t>–</t>
  </si>
  <si>
    <t>Surplus GG sector rule</t>
  </si>
  <si>
    <t>VS išlaidų augimo ribojimo taisyklė</t>
  </si>
  <si>
    <t>GG expenditure growth limiting rule</t>
  </si>
  <si>
    <t>taisyklės laikėsi</t>
  </si>
  <si>
    <t>the rule was adhered to</t>
  </si>
  <si>
    <t>taisyklės nesilaikė</t>
  </si>
  <si>
    <t>the rule was not adhered to</t>
  </si>
  <si>
    <t>taisyklė netaikoma</t>
  </si>
  <si>
    <t>the rule was not applicable</t>
  </si>
  <si>
    <t>nevertinama</t>
  </si>
  <si>
    <t>the rule is not assessed</t>
  </si>
  <si>
    <r>
      <rPr>
        <sz val="11"/>
        <rFont val="Arial"/>
        <family val="2"/>
        <charset val="186"/>
      </rPr>
      <t xml:space="preserve">Projekcijos </t>
    </r>
    <r>
      <rPr>
        <i/>
        <sz val="11"/>
        <rFont val="Arial"/>
        <family val="2"/>
        <charset val="186"/>
      </rPr>
      <t xml:space="preserve">/ </t>
    </r>
    <r>
      <rPr>
        <sz val="11"/>
        <rFont val="Arial"/>
        <family val="2"/>
        <charset val="186"/>
      </rPr>
      <t>Projections</t>
    </r>
  </si>
  <si>
    <t>3. ISTORINIS TAISYKLIŲ LAIKYMASIS / HISTORICAL ADHERENCE TO RULES</t>
  </si>
  <si>
    <t>7. Istorinis taisyklių laikymasis / Historical adherence to fiscal rules</t>
  </si>
  <si>
    <t>Europos Komisija, Eurostatas, Valstybės duomenų agentūra</t>
  </si>
  <si>
    <t xml:space="preserve">EDS – the Economic Development Scenario </t>
  </si>
  <si>
    <t>European Commission, Eurostat, State Data Agency</t>
  </si>
  <si>
    <t>National Audit Office of Lithuania, implementing the functions of the fiscal institution</t>
  </si>
  <si>
    <t xml:space="preserve"> </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</si>
  <si>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augimo ribojimo taisyklė ir VS priskiriamų biudžetų taisyklės.
</t>
    </r>
    <r>
      <rPr>
        <i/>
        <sz val="11"/>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</si>
  <si>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r>
      <t xml:space="preserve">4. Perteklinio VS taisyklės sąlygos
</t>
    </r>
    <r>
      <rPr>
        <b/>
        <i/>
        <sz val="11"/>
        <color theme="7" tint="-0.499984740745262"/>
        <rFont val="Arial"/>
        <family val="2"/>
        <charset val="186"/>
      </rPr>
      <t>Conditions of the surplus GG sector rule</t>
    </r>
  </si>
  <si>
    <r>
      <t xml:space="preserve">5. VS išlaidų augimo ribojimo taisyklė
</t>
    </r>
    <r>
      <rPr>
        <b/>
        <i/>
        <sz val="11"/>
        <color theme="7" tint="-0.499984740745262"/>
        <rFont val="Arial"/>
        <family val="2"/>
        <charset val="186"/>
      </rPr>
      <t>GG expenditure growth limiting rule</t>
    </r>
  </si>
  <si>
    <r>
      <t xml:space="preserve">6. VS priskiriamų biudžetų taisyklės
</t>
    </r>
    <r>
      <rPr>
        <b/>
        <i/>
        <sz val="11"/>
        <color theme="7" tint="-0.499984740745262"/>
        <rFont val="Arial"/>
        <family val="2"/>
        <charset val="186"/>
      </rPr>
      <t>Rules for the budgets attributable to GG sector</t>
    </r>
  </si>
  <si>
    <t>2024-10-25</t>
  </si>
  <si>
    <t>t+3</t>
  </si>
  <si>
    <t>t+4</t>
  </si>
  <si>
    <t>2025 m. pavasario ERS</t>
  </si>
  <si>
    <t>2024 m. rudens EK projekcijos</t>
  </si>
  <si>
    <r>
      <t xml:space="preserve">BVP defliatorius, 2021 = 100
</t>
    </r>
    <r>
      <rPr>
        <i/>
        <sz val="11"/>
        <color rgb="FF000000"/>
        <rFont val="Arial"/>
        <family val="2"/>
        <charset val="186"/>
      </rPr>
      <t>GDP deflator, 2021 = 100</t>
    </r>
  </si>
  <si>
    <t>EC projections for autumn 2024</t>
  </si>
  <si>
    <t>EDS data for spring 2025</t>
  </si>
  <si>
    <t xml:space="preserve">Taisyklė PSDF biudžetui
</t>
  </si>
  <si>
    <t>Rule for PSDF budget</t>
  </si>
  <si>
    <t>Taisyklė VSDF biudžetui</t>
  </si>
  <si>
    <t>Rule for VSDF budget</t>
  </si>
  <si>
    <t>2025 m. rudens ERS</t>
  </si>
  <si>
    <t>EDS data for autumn 2025</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</si>
  <si>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of the average multi-annual growth rate of the potential GDP at current prices</t>
  </si>
  <si>
    <t>2025 m. pavasario EK projekcijos</t>
  </si>
  <si>
    <t>Ne</t>
  </si>
  <si>
    <t>No</t>
  </si>
  <si>
    <t>2024K3-2025K2</t>
  </si>
  <si>
    <t>** einamaisiais metais keičiamas VS balansas</t>
  </si>
  <si>
    <t>** the adjusted aggregate balances of the GG budgets</t>
  </si>
  <si>
    <t>EC projections for spring 2025</t>
  </si>
  <si>
    <t>2024Q3-2025Q2</t>
  </si>
  <si>
    <t>2025 rudens ERS duomenys</t>
  </si>
  <si>
    <t>EDS data for autumn 2025                    Ministry of Finance (FM)</t>
  </si>
  <si>
    <r>
      <t xml:space="preserve">1. Fiskalinės drausmės taisyklių laikymosi suvestinė 2026 m.
</t>
    </r>
    <r>
      <rPr>
        <b/>
        <i/>
        <sz val="11"/>
        <color theme="7" tint="-0.499984740745262"/>
        <rFont val="Arial"/>
        <family val="2"/>
        <charset val="186"/>
      </rPr>
      <t>Summary of the fulfilment of the fiscal discipline rules in year 2026</t>
    </r>
  </si>
  <si>
    <t>2025-11-06 BPE–5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</si>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</sst>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 numFmtId="174" formatCode="0;\ \–0"/>
    <numFmt numFmtId="175" formatCode="#,##0.##########"/>
  </numFmts>
  <fonts count="65">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b/>
      <sz val="9"/>
      <name val="Arial"/>
      <family val="2"/>
      <charset val="186"/>
    </font>
    <font>
      <sz val="8"/>
      <color rgb="FFFF0000"/>
      <name val="Arial"/>
      <family val="2"/>
      <charset val="186"/>
    </font>
    <font>
      <sz val="11"/>
      <color rgb="FF000000"/>
      <name val="Calibri"/>
      <family val="2"/>
      <charset val="186"/>
    </font>
    <font>
      <sz val="10"/>
      <color rgb="FF00244D"/>
      <name val="Arial"/>
      <family val="2"/>
      <charset val="186"/>
    </font>
    <font>
      <sz val="11"/>
      <name val="Calibri Light"/>
      <family val="2"/>
      <charset val="186"/>
      <scheme val="major"/>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11"/>
      <color theme="7" tint="-0.499984740745262"/>
      <name val="Arial"/>
      <family val="2"/>
      <charset val="186"/>
    </font>
    <font>
      <sz val="12"/>
      <color theme="7" tint="-0.499984740745262"/>
      <name val="Arial"/>
      <family val="2"/>
      <charset val="186"/>
    </font>
    <font>
      <sz val="14"/>
      <color theme="7" tint="-0.499984740745262"/>
      <name val="Arial"/>
      <family val="2"/>
      <charset val="186"/>
    </font>
    <font>
      <i/>
      <sz val="11"/>
      <color theme="7" tint="-0.499984740745262"/>
      <name val="Arial"/>
      <family val="2"/>
      <charset val="186"/>
    </font>
    <font>
      <i/>
      <sz val="12"/>
      <color theme="7" tint="-0.499984740745262"/>
      <name val="Arial"/>
      <family val="2"/>
      <charset val="186"/>
    </font>
    <font>
      <u/>
      <sz val="11"/>
      <color theme="7" tint="-0.499984740745262"/>
      <name val="Arial"/>
      <family val="2"/>
      <charset val="186"/>
    </font>
    <font>
      <i/>
      <u/>
      <sz val="11"/>
      <color theme="7" tint="-0.499984740745262"/>
      <name val="Arial"/>
      <family val="2"/>
      <charset val="186"/>
    </font>
    <font>
      <b/>
      <sz val="11"/>
      <color theme="7" tint="-0.499984740745262"/>
      <name val="Arial"/>
      <family val="2"/>
      <charset val="186"/>
    </font>
    <font>
      <b/>
      <i/>
      <sz val="11"/>
      <color theme="7" tint="-0.499984740745262"/>
      <name val="Arial"/>
      <family val="2"/>
      <charset val="186"/>
    </font>
    <font>
      <b/>
      <vertAlign val="subscript"/>
      <sz val="11"/>
      <color theme="7" tint="-0.499984740745262"/>
      <name val="Arial"/>
      <family val="2"/>
      <charset val="186"/>
    </font>
    <font>
      <sz val="10"/>
      <color theme="7" tint="-0.499984740745262"/>
      <name val="Arial"/>
      <family val="2"/>
      <charset val="186"/>
    </font>
    <font>
      <i/>
      <sz val="10"/>
      <color theme="7" tint="-0.499984740745262"/>
      <name val="Arial"/>
      <family val="2"/>
      <charset val="186"/>
    </font>
    <font>
      <vertAlign val="subscript"/>
      <sz val="11"/>
      <color theme="7" tint="-0.499984740745262"/>
      <name val="Arial"/>
      <family val="2"/>
      <charset val="186"/>
    </font>
    <font>
      <sz val="11"/>
      <color rgb="FF000000"/>
      <name val="Arial"/>
      <family val="2"/>
    </font>
    <font>
      <i/>
      <sz val="11"/>
      <color rgb="FF000000"/>
      <name val="Arial"/>
      <family val="2"/>
    </font>
    <font>
      <sz val="11"/>
      <name val="Arial"/>
      <family val="2"/>
    </font>
    <font>
      <i/>
      <sz val="11"/>
      <name val="Arial"/>
      <family val="2"/>
    </font>
    <font>
      <sz val="11"/>
      <color indexed="8"/>
      <name val="Calibri"/>
      <family val="2"/>
      <scheme val="minor"/>
    </font>
    <font>
      <sz val="9"/>
      <name val="Arial"/>
      <family val="2"/>
      <charset val="186"/>
    </font>
    <font>
      <sz val="12"/>
      <name val="Times New Roman"/>
      <family val="1"/>
      <charset val="186"/>
    </font>
    <font>
      <sz val="11"/>
      <color indexed="8"/>
      <name val="Calibri"/>
      <family val="2"/>
      <charset val="134"/>
    </font>
    <font>
      <sz val="10"/>
      <color rgb="FF000000"/>
      <name val="Arial"/>
      <family val="2"/>
      <charset val="186"/>
    </font>
    <font>
      <i/>
      <sz val="10"/>
      <color rgb="FF000000"/>
      <name val="Arial"/>
      <family val="2"/>
      <charset val="186"/>
    </font>
    <font>
      <i/>
      <sz val="9"/>
      <color rgb="FFFF0000"/>
      <name val="Arial"/>
      <family val="2"/>
      <charset val="186"/>
    </font>
    <font>
      <sz val="9"/>
      <color rgb="FF000000"/>
      <name val="Arial"/>
      <family val="2"/>
      <charset val="186"/>
    </font>
    <font>
      <b/>
      <sz val="10"/>
      <color theme="7" tint="-0.499984740745262"/>
      <name val="Arial"/>
      <family val="2"/>
      <charset val="186"/>
    </font>
    <font>
      <b/>
      <i/>
      <sz val="10"/>
      <color theme="7" tint="-0.499984740745262"/>
      <name val="Arial"/>
      <family val="2"/>
      <charset val="186"/>
    </font>
    <font>
      <sz val="11"/>
      <color rgb="FFC9D6D9"/>
      <name val="Arial"/>
      <family val="2"/>
      <charset val="186"/>
    </font>
    <font>
      <i/>
      <sz val="10"/>
      <color theme="9" tint="-0.499984740745262"/>
      <name val="Arial"/>
      <family val="2"/>
      <charset val="186"/>
    </font>
    <font>
      <sz val="11"/>
      <color theme="2" tint="-0.499984740745262"/>
      <name val="Arial"/>
      <family val="2"/>
      <charset val="186"/>
    </font>
    <font>
      <sz val="10"/>
      <name val="HelveticaLT"/>
      <charset val="186"/>
    </font>
    <font>
      <sz val="8"/>
      <name val="Calibri"/>
      <family val="2"/>
      <charset val="186"/>
      <scheme val="minor"/>
    </font>
  </fonts>
  <fills count="1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7" tint="0.59999389629810485"/>
        <bgColor rgb="FF000000"/>
      </patternFill>
    </fill>
    <fill>
      <patternFill patternType="solid">
        <fgColor theme="9" tint="0.39997558519241921"/>
        <bgColor rgb="FF000000"/>
      </patternFill>
    </fill>
    <fill>
      <patternFill patternType="solid">
        <fgColor theme="7" tint="0.59999389629810485"/>
        <bgColor indexed="64"/>
      </patternFill>
    </fill>
    <fill>
      <patternFill patternType="solid">
        <fgColor theme="2" tint="0.39997558519241921"/>
        <bgColor rgb="FF000000"/>
      </patternFill>
    </fill>
    <fill>
      <patternFill patternType="solid">
        <fgColor theme="9"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0.39997558519241921"/>
        <bgColor indexed="64"/>
      </patternFill>
    </fill>
    <fill>
      <patternFill patternType="solid">
        <fgColor theme="0"/>
        <bgColor rgb="FF000000"/>
      </patternFill>
    </fill>
  </fills>
  <borders count="96">
    <border>
      <left/>
      <right/>
      <top/>
      <bottom/>
      <diagonal/>
    </border>
    <border>
      <left/>
      <right/>
      <top style="medium">
        <color rgb="FF00244D"/>
      </top>
      <bottom/>
      <diagonal/>
    </border>
    <border>
      <left style="medium">
        <color rgb="FF00244D"/>
      </left>
      <right/>
      <top/>
      <bottom/>
      <diagonal/>
    </border>
    <border>
      <left/>
      <right style="medium">
        <color rgb="FF00244D"/>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244D"/>
      </left>
      <right style="medium">
        <color rgb="FF00244D"/>
      </right>
      <top/>
      <bottom/>
      <diagonal/>
    </border>
    <border>
      <left/>
      <right/>
      <top/>
      <bottom style="thin">
        <color rgb="FF00244D"/>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rgb="FF00244D"/>
      </bottom>
      <diagonal/>
    </border>
    <border>
      <left/>
      <right/>
      <top style="medium">
        <color theme="7"/>
      </top>
      <bottom style="medium">
        <color rgb="FF00244D"/>
      </bottom>
      <diagonal/>
    </border>
    <border>
      <left/>
      <right style="medium">
        <color theme="7"/>
      </right>
      <top style="medium">
        <color theme="7"/>
      </top>
      <bottom style="medium">
        <color rgb="FF00244D"/>
      </bottom>
      <diagonal/>
    </border>
    <border>
      <left style="medium">
        <color theme="7"/>
      </left>
      <right/>
      <top style="medium">
        <color rgb="FF00244D"/>
      </top>
      <bottom/>
      <diagonal/>
    </border>
    <border>
      <left/>
      <right style="medium">
        <color theme="7"/>
      </right>
      <top style="medium">
        <color rgb="FF00244D"/>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style="medium">
        <color theme="7"/>
      </right>
      <top style="medium">
        <color rgb="FF00244D"/>
      </top>
      <bottom style="medium">
        <color theme="7"/>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theme="7"/>
      </left>
      <right style="medium">
        <color theme="7"/>
      </right>
      <top style="medium">
        <color theme="7"/>
      </top>
      <bottom/>
      <diagonal/>
    </border>
    <border>
      <left style="medium">
        <color theme="7"/>
      </left>
      <right style="medium">
        <color theme="7"/>
      </right>
      <top/>
      <bottom style="medium">
        <color theme="7"/>
      </bottom>
      <diagonal/>
    </border>
    <border>
      <left style="medium">
        <color theme="7"/>
      </left>
      <right style="medium">
        <color theme="7"/>
      </right>
      <top/>
      <bottom/>
      <diagonal/>
    </border>
    <border>
      <left style="medium">
        <color theme="7"/>
      </left>
      <right style="medium">
        <color theme="7"/>
      </right>
      <top style="medium">
        <color theme="7"/>
      </top>
      <bottom style="medium">
        <color rgb="FF00244D"/>
      </bottom>
      <diagonal/>
    </border>
    <border>
      <left style="medium">
        <color theme="7"/>
      </left>
      <right style="medium">
        <color theme="7"/>
      </right>
      <top style="medium">
        <color rgb="FF00244D"/>
      </top>
      <bottom style="medium">
        <color rgb="FF00244D"/>
      </bottom>
      <diagonal/>
    </border>
    <border>
      <left style="medium">
        <color theme="7"/>
      </left>
      <right/>
      <top style="medium">
        <color theme="7"/>
      </top>
      <bottom/>
      <diagonal/>
    </border>
    <border>
      <left/>
      <right style="medium">
        <color theme="7"/>
      </right>
      <top style="medium">
        <color theme="7"/>
      </top>
      <bottom/>
      <diagonal/>
    </border>
    <border>
      <left style="thick">
        <color theme="7"/>
      </left>
      <right style="thick">
        <color theme="7"/>
      </right>
      <top style="thick">
        <color theme="7"/>
      </top>
      <bottom style="thick">
        <color theme="7"/>
      </bottom>
      <diagonal/>
    </border>
    <border>
      <left style="thick">
        <color theme="7"/>
      </left>
      <right style="medium">
        <color rgb="FF00244D"/>
      </right>
      <top style="thick">
        <color theme="7"/>
      </top>
      <bottom/>
      <diagonal/>
    </border>
    <border>
      <left style="medium">
        <color rgb="FF00244D"/>
      </left>
      <right style="medium">
        <color rgb="FF00244D"/>
      </right>
      <top style="thick">
        <color theme="7"/>
      </top>
      <bottom/>
      <diagonal/>
    </border>
    <border>
      <left style="medium">
        <color rgb="FF00244D"/>
      </left>
      <right style="thick">
        <color theme="7"/>
      </right>
      <top style="thick">
        <color theme="7"/>
      </top>
      <bottom/>
      <diagonal/>
    </border>
    <border>
      <left style="thick">
        <color theme="7"/>
      </left>
      <right style="medium">
        <color theme="7"/>
      </right>
      <top style="medium">
        <color theme="7"/>
      </top>
      <bottom style="medium">
        <color theme="7"/>
      </bottom>
      <diagonal/>
    </border>
    <border>
      <left style="medium">
        <color theme="7"/>
      </left>
      <right style="thick">
        <color theme="7"/>
      </right>
      <top style="medium">
        <color theme="7"/>
      </top>
      <bottom style="medium">
        <color theme="7"/>
      </bottom>
      <diagonal/>
    </border>
    <border>
      <left style="thick">
        <color theme="7"/>
      </left>
      <right style="medium">
        <color theme="7"/>
      </right>
      <top style="medium">
        <color theme="7"/>
      </top>
      <bottom/>
      <diagonal/>
    </border>
    <border>
      <left style="medium">
        <color theme="7"/>
      </left>
      <right style="thick">
        <color theme="7"/>
      </right>
      <top style="medium">
        <color theme="7"/>
      </top>
      <bottom/>
      <diagonal/>
    </border>
    <border>
      <left style="thick">
        <color theme="7"/>
      </left>
      <right style="medium">
        <color theme="7"/>
      </right>
      <top/>
      <bottom style="medium">
        <color theme="7"/>
      </bottom>
      <diagonal/>
    </border>
    <border>
      <left style="medium">
        <color theme="7"/>
      </left>
      <right style="thick">
        <color theme="7"/>
      </right>
      <top/>
      <bottom style="medium">
        <color theme="7"/>
      </bottom>
      <diagonal/>
    </border>
    <border>
      <left style="thick">
        <color theme="7"/>
      </left>
      <right style="medium">
        <color theme="7"/>
      </right>
      <top/>
      <bottom/>
      <diagonal/>
    </border>
    <border>
      <left style="medium">
        <color theme="7"/>
      </left>
      <right style="thick">
        <color theme="7"/>
      </right>
      <top/>
      <bottom/>
      <diagonal/>
    </border>
    <border>
      <left style="thick">
        <color theme="7"/>
      </left>
      <right style="medium">
        <color theme="7"/>
      </right>
      <top/>
      <bottom style="thick">
        <color theme="7"/>
      </bottom>
      <diagonal/>
    </border>
    <border>
      <left style="medium">
        <color theme="7"/>
      </left>
      <right style="medium">
        <color theme="7"/>
      </right>
      <top/>
      <bottom style="thick">
        <color theme="7"/>
      </bottom>
      <diagonal/>
    </border>
    <border>
      <left style="medium">
        <color theme="7"/>
      </left>
      <right style="thick">
        <color theme="7"/>
      </right>
      <top/>
      <bottom style="thick">
        <color theme="7"/>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medium">
        <color theme="7"/>
      </right>
      <top style="medium">
        <color theme="7"/>
      </top>
      <bottom style="thick">
        <color theme="7"/>
      </bottom>
      <diagonal/>
    </border>
    <border>
      <left style="medium">
        <color theme="7"/>
      </left>
      <right style="medium">
        <color theme="7"/>
      </right>
      <top style="medium">
        <color theme="7"/>
      </top>
      <bottom style="thick">
        <color theme="7"/>
      </bottom>
      <diagonal/>
    </border>
    <border>
      <left style="medium">
        <color theme="7"/>
      </left>
      <right style="thick">
        <color theme="7"/>
      </right>
      <top style="medium">
        <color theme="7"/>
      </top>
      <bottom style="thick">
        <color theme="7"/>
      </bottom>
      <diagonal/>
    </border>
    <border>
      <left style="thick">
        <color theme="7"/>
      </left>
      <right style="medium">
        <color rgb="FF00244D"/>
      </right>
      <top style="thick">
        <color theme="7"/>
      </top>
      <bottom style="medium">
        <color theme="7"/>
      </bottom>
      <diagonal/>
    </border>
    <border>
      <left style="medium">
        <color rgb="FF00244D"/>
      </left>
      <right style="medium">
        <color rgb="FF00244D"/>
      </right>
      <top style="thick">
        <color theme="7"/>
      </top>
      <bottom style="medium">
        <color theme="7"/>
      </bottom>
      <diagonal/>
    </border>
    <border>
      <left style="medium">
        <color rgb="FF00244D"/>
      </left>
      <right style="thick">
        <color theme="7"/>
      </right>
      <top style="thick">
        <color theme="7"/>
      </top>
      <bottom style="medium">
        <color theme="7"/>
      </bottom>
      <diagonal/>
    </border>
    <border>
      <left style="thick">
        <color theme="7"/>
      </left>
      <right/>
      <top/>
      <bottom/>
      <diagonal/>
    </border>
    <border>
      <left/>
      <right style="thick">
        <color theme="7"/>
      </right>
      <top/>
      <bottom/>
      <diagonal/>
    </border>
    <border>
      <left style="thick">
        <color theme="7"/>
      </left>
      <right style="medium">
        <color theme="7"/>
      </right>
      <top style="medium">
        <color theme="7"/>
      </top>
      <bottom style="medium">
        <color rgb="FF00244D"/>
      </bottom>
      <diagonal/>
    </border>
    <border>
      <left style="thick">
        <color theme="7"/>
      </left>
      <right style="medium">
        <color theme="7"/>
      </right>
      <top style="medium">
        <color rgb="FF00244D"/>
      </top>
      <bottom/>
      <diagonal/>
    </border>
    <border>
      <left style="thick">
        <color theme="7"/>
      </left>
      <right style="medium">
        <color theme="7"/>
      </right>
      <top/>
      <bottom style="medium">
        <color rgb="FF00244D"/>
      </bottom>
      <diagonal/>
    </border>
    <border>
      <left style="thick">
        <color theme="7"/>
      </left>
      <right style="medium">
        <color theme="7"/>
      </right>
      <top style="medium">
        <color rgb="FF00244D"/>
      </top>
      <bottom style="medium">
        <color theme="7"/>
      </bottom>
      <diagonal/>
    </border>
    <border>
      <left style="thick">
        <color theme="7"/>
      </left>
      <right style="medium">
        <color rgb="FF00244D"/>
      </right>
      <top/>
      <bottom/>
      <diagonal/>
    </border>
    <border>
      <left style="medium">
        <color rgb="FF00244D"/>
      </left>
      <right style="thick">
        <color theme="7"/>
      </right>
      <top/>
      <bottom/>
      <diagonal/>
    </border>
    <border>
      <left style="thick">
        <color theme="7"/>
      </left>
      <right style="medium">
        <color theme="7"/>
      </right>
      <top style="medium">
        <color rgb="FF00244D"/>
      </top>
      <bottom style="medium">
        <color rgb="FF00244D"/>
      </bottom>
      <diagonal/>
    </border>
    <border>
      <left/>
      <right style="thick">
        <color theme="7"/>
      </right>
      <top style="medium">
        <color theme="7"/>
      </top>
      <bottom/>
      <diagonal/>
    </border>
    <border>
      <left/>
      <right style="thick">
        <color theme="7"/>
      </right>
      <top/>
      <bottom style="medium">
        <color theme="7"/>
      </bottom>
      <diagonal/>
    </border>
    <border>
      <left/>
      <right/>
      <top/>
      <bottom style="thick">
        <color theme="7"/>
      </bottom>
      <diagonal/>
    </border>
    <border>
      <left style="medium">
        <color theme="7"/>
      </left>
      <right/>
      <top/>
      <bottom style="thick">
        <color theme="7"/>
      </bottom>
      <diagonal/>
    </border>
    <border>
      <left/>
      <right style="medium">
        <color theme="7"/>
      </right>
      <top/>
      <bottom style="thick">
        <color theme="7"/>
      </bottom>
      <diagonal/>
    </border>
    <border>
      <left/>
      <right style="thick">
        <color theme="7"/>
      </right>
      <top/>
      <bottom style="thick">
        <color theme="7"/>
      </bottom>
      <diagonal/>
    </border>
    <border>
      <left style="thick">
        <color theme="7"/>
      </left>
      <right/>
      <top style="medium">
        <color theme="7"/>
      </top>
      <bottom style="medium">
        <color theme="7"/>
      </bottom>
      <diagonal/>
    </border>
    <border>
      <left style="thick">
        <color theme="7"/>
      </left>
      <right/>
      <top style="medium">
        <color theme="7"/>
      </top>
      <bottom style="thick">
        <color theme="7"/>
      </bottom>
      <diagonal/>
    </border>
    <border>
      <left style="thick">
        <color theme="7"/>
      </left>
      <right style="medium">
        <color rgb="FF8D8473"/>
      </right>
      <top style="thick">
        <color theme="7"/>
      </top>
      <bottom style="medium">
        <color theme="7"/>
      </bottom>
      <diagonal/>
    </border>
    <border>
      <left style="medium">
        <color rgb="FF8D8473"/>
      </left>
      <right style="thick">
        <color theme="7"/>
      </right>
      <top style="thick">
        <color theme="7"/>
      </top>
      <bottom style="medium">
        <color theme="7"/>
      </bottom>
      <diagonal/>
    </border>
    <border>
      <left style="thick">
        <color theme="7"/>
      </left>
      <right style="medium">
        <color rgb="FF8D8473"/>
      </right>
      <top style="medium">
        <color theme="7"/>
      </top>
      <bottom style="thick">
        <color theme="7"/>
      </bottom>
      <diagonal/>
    </border>
    <border>
      <left style="medium">
        <color rgb="FF8D8473"/>
      </left>
      <right style="thick">
        <color theme="7"/>
      </right>
      <top style="medium">
        <color theme="7"/>
      </top>
      <bottom style="thick">
        <color theme="7"/>
      </bottom>
      <diagonal/>
    </border>
    <border>
      <left style="thick">
        <color theme="7"/>
      </left>
      <right style="medium">
        <color rgb="FF00244D"/>
      </right>
      <top style="medium">
        <color theme="7"/>
      </top>
      <bottom style="medium">
        <color theme="7"/>
      </bottom>
      <diagonal/>
    </border>
    <border>
      <left style="medium">
        <color rgb="FF00244D"/>
      </left>
      <right style="thick">
        <color theme="7"/>
      </right>
      <top style="medium">
        <color theme="7"/>
      </top>
      <bottom style="medium">
        <color theme="7"/>
      </bottom>
      <diagonal/>
    </border>
    <border>
      <left style="thick">
        <color theme="7"/>
      </left>
      <right style="medium">
        <color rgb="FF00244D"/>
      </right>
      <top style="medium">
        <color theme="7"/>
      </top>
      <bottom style="thick">
        <color theme="7"/>
      </bottom>
      <diagonal/>
    </border>
    <border>
      <left style="medium">
        <color rgb="FF00244D"/>
      </left>
      <right style="thick">
        <color theme="7"/>
      </right>
      <top style="medium">
        <color theme="7"/>
      </top>
      <bottom style="thick">
        <color theme="7"/>
      </bottom>
      <diagonal/>
    </border>
    <border>
      <left style="thick">
        <color theme="7"/>
      </left>
      <right/>
      <top style="thick">
        <color theme="7"/>
      </top>
      <bottom style="medium">
        <color theme="7"/>
      </bottom>
      <diagonal/>
    </border>
    <border>
      <left/>
      <right style="thick">
        <color theme="7"/>
      </right>
      <top style="thick">
        <color theme="7"/>
      </top>
      <bottom style="medium">
        <color theme="7"/>
      </bottom>
      <diagonal/>
    </border>
    <border>
      <left/>
      <right style="thick">
        <color theme="7"/>
      </right>
      <top style="medium">
        <color theme="7"/>
      </top>
      <bottom style="thick">
        <color theme="7"/>
      </bottom>
      <diagonal/>
    </border>
    <border>
      <left style="thick">
        <color theme="7"/>
      </left>
      <right style="thick">
        <color theme="7"/>
      </right>
      <top style="thick">
        <color theme="7"/>
      </top>
      <bottom style="medium">
        <color theme="7"/>
      </bottom>
      <diagonal/>
    </border>
    <border>
      <left style="thick">
        <color theme="7"/>
      </left>
      <right style="thick">
        <color theme="7"/>
      </right>
      <top style="medium">
        <color theme="7"/>
      </top>
      <bottom style="thick">
        <color theme="7"/>
      </bottom>
      <diagonal/>
    </border>
    <border>
      <left style="thick">
        <color theme="7"/>
      </left>
      <right style="thick">
        <color theme="7"/>
      </right>
      <top style="medium">
        <color theme="7"/>
      </top>
      <bottom style="medium">
        <color theme="7"/>
      </bottom>
      <diagonal/>
    </border>
    <border>
      <left/>
      <right style="thick">
        <color theme="7"/>
      </right>
      <top style="medium">
        <color theme="7"/>
      </top>
      <bottom style="medium">
        <color theme="7"/>
      </bottom>
      <diagonal/>
    </border>
    <border>
      <left style="thick">
        <color theme="7"/>
      </left>
      <right/>
      <top style="medium">
        <color theme="7"/>
      </top>
      <bottom/>
      <diagonal/>
    </border>
    <border>
      <left style="thick">
        <color theme="7"/>
      </left>
      <right/>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right/>
      <top style="medium">
        <color theme="7"/>
      </top>
      <bottom/>
      <diagonal/>
    </border>
    <border>
      <left style="thick">
        <color theme="7"/>
      </left>
      <right style="medium">
        <color theme="7"/>
      </right>
      <top style="thick">
        <color theme="7"/>
      </top>
      <bottom style="medium">
        <color theme="7"/>
      </bottom>
      <diagonal/>
    </border>
    <border>
      <left style="medium">
        <color theme="7"/>
      </left>
      <right style="thick">
        <color theme="7"/>
      </right>
      <top style="thick">
        <color theme="7"/>
      </top>
      <bottom style="medium">
        <color theme="7"/>
      </bottom>
      <diagonal/>
    </border>
    <border>
      <left style="medium">
        <color theme="7"/>
      </left>
      <right style="medium">
        <color rgb="FF00244D"/>
      </right>
      <top/>
      <bottom style="medium">
        <color theme="7"/>
      </bottom>
      <diagonal/>
    </border>
    <border>
      <left style="medium">
        <color rgb="FF00244D"/>
      </left>
      <right style="medium">
        <color theme="7"/>
      </right>
      <top/>
      <bottom style="medium">
        <color theme="7"/>
      </bottom>
      <diagonal/>
    </border>
    <border>
      <left style="medium">
        <color theme="7"/>
      </left>
      <right/>
      <top style="medium">
        <color theme="7"/>
      </top>
      <bottom style="thick">
        <color theme="7"/>
      </bottom>
      <diagonal/>
    </border>
  </borders>
  <cellStyleXfs count="12">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xf numFmtId="0" fontId="50" fillId="0" borderId="0"/>
    <xf numFmtId="0" fontId="52" fillId="0" borderId="0">
      <alignment vertical="center"/>
    </xf>
    <xf numFmtId="0" fontId="52" fillId="0" borderId="0">
      <alignment vertical="center"/>
    </xf>
    <xf numFmtId="0" fontId="53" fillId="0" borderId="0">
      <alignment vertical="center"/>
    </xf>
    <xf numFmtId="0" fontId="9" fillId="0" borderId="0"/>
    <xf numFmtId="0" fontId="63" fillId="0" borderId="0"/>
  </cellStyleXfs>
  <cellXfs count="550">
    <xf numFmtId="0" fontId="0" fillId="0" borderId="0" xfId="0"/>
    <xf numFmtId="0" fontId="3" fillId="0" borderId="0" xfId="0" applyFont="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Alignment="1">
      <alignment wrapText="1"/>
    </xf>
    <xf numFmtId="0" fontId="3" fillId="0" borderId="0" xfId="0" applyFont="1" applyAlignment="1">
      <alignment horizontal="right" indent="1"/>
    </xf>
    <xf numFmtId="0" fontId="3" fillId="0" borderId="0" xfId="0" applyFont="1" applyAlignment="1">
      <alignment horizontal="right" wrapText="1" indent="1"/>
    </xf>
    <xf numFmtId="0" fontId="5" fillId="0" borderId="0" xfId="0" applyFont="1"/>
    <xf numFmtId="0" fontId="13" fillId="0" borderId="0" xfId="0" applyFont="1"/>
    <xf numFmtId="0" fontId="8" fillId="0" borderId="0" xfId="0" applyFont="1"/>
    <xf numFmtId="166" fontId="3" fillId="0" borderId="0" xfId="0" applyNumberFormat="1" applyFont="1"/>
    <xf numFmtId="0" fontId="16" fillId="0" borderId="0" xfId="0" applyFont="1"/>
    <xf numFmtId="164" fontId="3" fillId="0" borderId="0" xfId="0" applyNumberFormat="1" applyFont="1"/>
    <xf numFmtId="0" fontId="18" fillId="0" borderId="0" xfId="0" applyFont="1"/>
    <xf numFmtId="0" fontId="19" fillId="0" borderId="0" xfId="0" applyFont="1" applyAlignment="1">
      <alignment horizontal="right" indent="1"/>
    </xf>
    <xf numFmtId="0" fontId="5" fillId="0" borderId="0" xfId="0" applyFont="1" applyAlignment="1">
      <alignment horizontal="right" indent="1"/>
    </xf>
    <xf numFmtId="2" fontId="5" fillId="0" borderId="0" xfId="0" applyNumberFormat="1" applyFont="1" applyAlignment="1">
      <alignment horizontal="center"/>
    </xf>
    <xf numFmtId="169" fontId="3" fillId="0" borderId="0" xfId="0" applyNumberFormat="1" applyFont="1"/>
    <xf numFmtId="170" fontId="20" fillId="0" borderId="0" xfId="4" applyNumberFormat="1" applyFont="1" applyAlignment="1">
      <alignment horizontal="right"/>
    </xf>
    <xf numFmtId="0" fontId="3" fillId="0" borderId="0" xfId="0" applyFont="1" applyAlignment="1">
      <alignment vertical="center"/>
    </xf>
    <xf numFmtId="0" fontId="7" fillId="2" borderId="0" xfId="0" applyFont="1" applyFill="1" applyAlignment="1">
      <alignment horizontal="center" vertical="center"/>
    </xf>
    <xf numFmtId="166" fontId="3" fillId="0" borderId="0" xfId="0" applyNumberFormat="1" applyFont="1" applyAlignment="1">
      <alignment horizontal="right" indent="1"/>
    </xf>
    <xf numFmtId="0" fontId="8" fillId="2" borderId="0" xfId="0" applyFont="1" applyFill="1"/>
    <xf numFmtId="171" fontId="3" fillId="0" borderId="0" xfId="0" applyNumberFormat="1" applyFont="1"/>
    <xf numFmtId="0" fontId="21" fillId="0" borderId="0" xfId="0" applyFont="1"/>
    <xf numFmtId="0" fontId="22" fillId="0" borderId="0" xfId="0" applyFont="1" applyAlignment="1">
      <alignment vertical="center"/>
    </xf>
    <xf numFmtId="0" fontId="3" fillId="0" borderId="0" xfId="0" applyFont="1" applyAlignment="1">
      <alignment horizontal="right"/>
    </xf>
    <xf numFmtId="0" fontId="5" fillId="0" borderId="0" xfId="0" applyFont="1" applyAlignment="1">
      <alignment horizontal="right"/>
    </xf>
    <xf numFmtId="0" fontId="5" fillId="0" borderId="0" xfId="0" applyFont="1" applyAlignment="1">
      <alignment horizontal="center"/>
    </xf>
    <xf numFmtId="1" fontId="5" fillId="0" borderId="0" xfId="0" applyNumberFormat="1" applyFont="1" applyAlignment="1">
      <alignment horizontal="center"/>
    </xf>
    <xf numFmtId="0" fontId="5" fillId="0" borderId="0" xfId="0" applyFont="1" applyAlignment="1">
      <alignment horizontal="left"/>
    </xf>
    <xf numFmtId="1" fontId="3" fillId="0" borderId="0" xfId="0" applyNumberFormat="1" applyFont="1"/>
    <xf numFmtId="169" fontId="16" fillId="0" borderId="0" xfId="0" applyNumberFormat="1" applyFont="1"/>
    <xf numFmtId="0" fontId="3" fillId="0" borderId="0" xfId="0" applyFont="1" applyAlignment="1">
      <alignment horizontal="left" wrapText="1"/>
    </xf>
    <xf numFmtId="0" fontId="19" fillId="0" borderId="0" xfId="0" applyFont="1"/>
    <xf numFmtId="0" fontId="3" fillId="0" borderId="0" xfId="0" applyFont="1" applyAlignment="1">
      <alignment horizontal="left"/>
    </xf>
    <xf numFmtId="167" fontId="8" fillId="0" borderId="0" xfId="0" applyNumberFormat="1" applyFont="1" applyAlignment="1">
      <alignment horizontal="center"/>
    </xf>
    <xf numFmtId="0" fontId="25" fillId="0" borderId="0" xfId="0" applyFont="1"/>
    <xf numFmtId="1" fontId="29" fillId="0" borderId="0" xfId="0" applyNumberFormat="1" applyFont="1" applyAlignment="1">
      <alignment horizontal="center"/>
    </xf>
    <xf numFmtId="0" fontId="24" fillId="0" borderId="0" xfId="0" applyFont="1"/>
    <xf numFmtId="0" fontId="3" fillId="3" borderId="0" xfId="0" applyFont="1" applyFill="1"/>
    <xf numFmtId="0" fontId="30" fillId="0" borderId="0" xfId="0" applyFont="1"/>
    <xf numFmtId="0" fontId="25" fillId="0" borderId="0" xfId="0" applyFont="1" applyAlignment="1">
      <alignment horizontal="right" indent="1"/>
    </xf>
    <xf numFmtId="0" fontId="25" fillId="0" borderId="0" xfId="0" applyFont="1" applyAlignment="1">
      <alignment horizontal="left"/>
    </xf>
    <xf numFmtId="0" fontId="31" fillId="0" borderId="0" xfId="0" applyFont="1"/>
    <xf numFmtId="0" fontId="32" fillId="0" borderId="0" xfId="1" applyFont="1" applyFill="1" applyBorder="1"/>
    <xf numFmtId="1" fontId="30" fillId="0" borderId="0" xfId="0" applyNumberFormat="1" applyFont="1" applyAlignment="1">
      <alignment horizontal="center"/>
    </xf>
    <xf numFmtId="0" fontId="9" fillId="0" borderId="0" xfId="3" applyFont="1"/>
    <xf numFmtId="166" fontId="31" fillId="0" borderId="0" xfId="0" applyNumberFormat="1" applyFont="1"/>
    <xf numFmtId="169" fontId="31" fillId="0" borderId="0" xfId="0" applyNumberFormat="1" applyFont="1"/>
    <xf numFmtId="14" fontId="31" fillId="0" borderId="0" xfId="0" applyNumberFormat="1" applyFont="1"/>
    <xf numFmtId="166" fontId="8" fillId="0" borderId="0" xfId="0" applyNumberFormat="1" applyFont="1"/>
    <xf numFmtId="0" fontId="2" fillId="0" borderId="0" xfId="1" applyFill="1" applyBorder="1"/>
    <xf numFmtId="0" fontId="25" fillId="0" borderId="0" xfId="0" applyFont="1" applyAlignment="1">
      <alignment horizontal="left" wrapText="1"/>
    </xf>
    <xf numFmtId="3" fontId="0" fillId="0" borderId="0" xfId="0" applyNumberFormat="1"/>
    <xf numFmtId="0" fontId="3" fillId="0" borderId="0" xfId="0" applyFont="1" applyAlignment="1">
      <alignment horizontal="left" vertical="center"/>
    </xf>
    <xf numFmtId="0" fontId="33" fillId="0" borderId="12" xfId="0" applyFont="1" applyBorder="1"/>
    <xf numFmtId="0" fontId="33" fillId="0" borderId="1" xfId="0" applyFont="1" applyBorder="1"/>
    <xf numFmtId="0" fontId="33" fillId="0" borderId="13" xfId="0" applyFont="1" applyBorder="1"/>
    <xf numFmtId="0" fontId="34" fillId="5" borderId="15" xfId="0" applyFont="1" applyFill="1" applyBorder="1" applyAlignment="1">
      <alignment horizontal="center" vertical="center"/>
    </xf>
    <xf numFmtId="0" fontId="33" fillId="0" borderId="14" xfId="0" applyFont="1" applyBorder="1"/>
    <xf numFmtId="0" fontId="33" fillId="0" borderId="0" xfId="0" applyFont="1"/>
    <xf numFmtId="0" fontId="33" fillId="0" borderId="15" xfId="0" applyFont="1" applyBorder="1"/>
    <xf numFmtId="0" fontId="35" fillId="5" borderId="15" xfId="0" applyFont="1" applyFill="1" applyBorder="1"/>
    <xf numFmtId="0" fontId="33" fillId="0" borderId="15" xfId="1" applyFont="1" applyBorder="1" applyAlignment="1" applyProtection="1">
      <alignment horizontal="justify" vertical="top" wrapText="1"/>
    </xf>
    <xf numFmtId="0" fontId="38" fillId="0" borderId="0" xfId="1" applyFont="1" applyBorder="1" applyAlignment="1" applyProtection="1">
      <alignment horizontal="left" indent="2"/>
    </xf>
    <xf numFmtId="0" fontId="38" fillId="0" borderId="0" xfId="1" applyFont="1" applyBorder="1" applyAlignment="1" applyProtection="1"/>
    <xf numFmtId="0" fontId="36" fillId="0" borderId="14" xfId="0" applyFont="1" applyBorder="1"/>
    <xf numFmtId="0" fontId="39" fillId="0" borderId="0" xfId="1" applyFont="1" applyBorder="1" applyAlignment="1" applyProtection="1"/>
    <xf numFmtId="0" fontId="33" fillId="0" borderId="16" xfId="0" applyFont="1" applyBorder="1"/>
    <xf numFmtId="0" fontId="33" fillId="0" borderId="17" xfId="0" applyFont="1" applyBorder="1"/>
    <xf numFmtId="0" fontId="33" fillId="0" borderId="18" xfId="0" applyFont="1" applyBorder="1"/>
    <xf numFmtId="0" fontId="38" fillId="0" borderId="0" xfId="1" applyFont="1" applyFill="1" applyBorder="1" applyAlignment="1" applyProtection="1"/>
    <xf numFmtId="166" fontId="25" fillId="0" borderId="0" xfId="0" applyNumberFormat="1" applyFont="1"/>
    <xf numFmtId="0" fontId="28" fillId="0" borderId="0" xfId="0" applyFont="1"/>
    <xf numFmtId="0" fontId="8" fillId="0" borderId="8" xfId="0" applyFont="1" applyBorder="1" applyAlignment="1">
      <alignment horizontal="center" vertical="center"/>
    </xf>
    <xf numFmtId="0" fontId="3" fillId="0" borderId="8" xfId="0" applyFont="1" applyBorder="1" applyAlignment="1">
      <alignment horizontal="left" vertical="center" wrapText="1"/>
    </xf>
    <xf numFmtId="0" fontId="8" fillId="0" borderId="8" xfId="0" applyFont="1" applyBorder="1" applyAlignment="1">
      <alignment horizontal="left" vertical="center" wrapText="1"/>
    </xf>
    <xf numFmtId="164" fontId="8" fillId="0" borderId="8" xfId="0" applyNumberFormat="1" applyFont="1" applyBorder="1" applyAlignment="1">
      <alignment horizontal="center" vertical="center"/>
    </xf>
    <xf numFmtId="165" fontId="8" fillId="0" borderId="8" xfId="0" applyNumberFormat="1" applyFont="1" applyBorder="1" applyAlignment="1">
      <alignment horizontal="center" vertical="center"/>
    </xf>
    <xf numFmtId="0" fontId="8" fillId="0" borderId="8"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center" vertical="center" wrapText="1"/>
    </xf>
    <xf numFmtId="164" fontId="8" fillId="0" borderId="8" xfId="0" applyNumberFormat="1" applyFont="1" applyBorder="1" applyAlignment="1">
      <alignment vertical="center" wrapText="1"/>
    </xf>
    <xf numFmtId="0" fontId="8" fillId="0" borderId="8" xfId="0" applyFont="1" applyBorder="1" applyAlignment="1">
      <alignment vertical="center"/>
    </xf>
    <xf numFmtId="0" fontId="3" fillId="6" borderId="8" xfId="0" applyFont="1" applyFill="1" applyBorder="1" applyAlignment="1">
      <alignment horizontal="center" vertical="center" wrapText="1"/>
    </xf>
    <xf numFmtId="0" fontId="3" fillId="3" borderId="14" xfId="0" applyFont="1" applyFill="1" applyBorder="1" applyAlignment="1">
      <alignment vertical="center" wrapText="1"/>
    </xf>
    <xf numFmtId="0" fontId="3" fillId="0" borderId="33" xfId="0" applyFont="1" applyBorder="1" applyAlignment="1">
      <alignment vertical="center" wrapText="1"/>
    </xf>
    <xf numFmtId="164" fontId="8" fillId="0" borderId="34" xfId="0" applyNumberFormat="1" applyFont="1" applyBorder="1" applyAlignment="1">
      <alignment vertical="center" wrapText="1"/>
    </xf>
    <xf numFmtId="0" fontId="8" fillId="0" borderId="33"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xf>
    <xf numFmtId="0" fontId="8" fillId="0" borderId="48" xfId="0" applyFont="1" applyBorder="1" applyAlignment="1">
      <alignment horizontal="left" vertical="center" wrapText="1"/>
    </xf>
    <xf numFmtId="0" fontId="8" fillId="0" borderId="49" xfId="0" applyFont="1" applyBorder="1" applyAlignment="1">
      <alignment vertical="center"/>
    </xf>
    <xf numFmtId="0" fontId="8" fillId="0" borderId="34" xfId="0" applyFont="1" applyBorder="1" applyAlignment="1">
      <alignment horizontal="center" vertical="center"/>
    </xf>
    <xf numFmtId="0" fontId="3" fillId="0" borderId="33" xfId="0" applyFont="1" applyBorder="1" applyAlignment="1">
      <alignment horizontal="left" vertical="center" wrapText="1"/>
    </xf>
    <xf numFmtId="0" fontId="8" fillId="0" borderId="48" xfId="0" applyFont="1" applyBorder="1" applyAlignment="1">
      <alignment horizontal="left" vertical="center"/>
    </xf>
    <xf numFmtId="165" fontId="8" fillId="0" borderId="48" xfId="0" applyNumberFormat="1" applyFont="1" applyBorder="1" applyAlignment="1">
      <alignment horizontal="center" vertical="center"/>
    </xf>
    <xf numFmtId="0" fontId="26" fillId="3" borderId="18" xfId="0" applyFont="1" applyFill="1" applyBorder="1" applyAlignment="1">
      <alignment vertical="top" wrapText="1"/>
    </xf>
    <xf numFmtId="0" fontId="3" fillId="0" borderId="29" xfId="0" applyFont="1" applyBorder="1"/>
    <xf numFmtId="0" fontId="3" fillId="6" borderId="81" xfId="0" applyFont="1" applyFill="1" applyBorder="1"/>
    <xf numFmtId="0" fontId="3" fillId="7"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25" fillId="8" borderId="38" xfId="0" applyFont="1" applyFill="1" applyBorder="1" applyAlignment="1">
      <alignment horizontal="center" vertical="center" wrapText="1"/>
    </xf>
    <xf numFmtId="0" fontId="8" fillId="8" borderId="34" xfId="0" applyFont="1" applyFill="1" applyBorder="1" applyAlignment="1">
      <alignment horizontal="center" vertical="center"/>
    </xf>
    <xf numFmtId="0" fontId="3" fillId="8" borderId="82" xfId="0" applyFont="1" applyFill="1" applyBorder="1"/>
    <xf numFmtId="0" fontId="3" fillId="8" borderId="8" xfId="0" applyFont="1" applyFill="1" applyBorder="1" applyAlignment="1">
      <alignment horizontal="center" vertical="center" wrapText="1"/>
    </xf>
    <xf numFmtId="0" fontId="3" fillId="8" borderId="34" xfId="0" applyFont="1" applyFill="1" applyBorder="1" applyAlignment="1">
      <alignment horizontal="center" vertical="center" wrapText="1"/>
    </xf>
    <xf numFmtId="164" fontId="8" fillId="8" borderId="8" xfId="0" applyNumberFormat="1" applyFont="1" applyFill="1" applyBorder="1" applyAlignment="1">
      <alignment vertical="center" wrapText="1"/>
    </xf>
    <xf numFmtId="164" fontId="8" fillId="8" borderId="34" xfId="0" applyNumberFormat="1" applyFont="1" applyFill="1" applyBorder="1" applyAlignment="1">
      <alignment vertical="center" wrapText="1"/>
    </xf>
    <xf numFmtId="0" fontId="3" fillId="8" borderId="34" xfId="0" applyFont="1" applyFill="1" applyBorder="1" applyAlignment="1">
      <alignment horizontal="center" vertical="center"/>
    </xf>
    <xf numFmtId="169" fontId="3" fillId="8" borderId="36" xfId="0" applyNumberFormat="1" applyFont="1" applyFill="1" applyBorder="1" applyAlignment="1">
      <alignment horizontal="center" vertical="center"/>
    </xf>
    <xf numFmtId="169" fontId="25" fillId="8" borderId="38" xfId="0" applyNumberFormat="1" applyFont="1" applyFill="1" applyBorder="1" applyAlignment="1">
      <alignment horizontal="center" vertical="center"/>
    </xf>
    <xf numFmtId="172" fontId="26" fillId="8" borderId="38" xfId="0" applyNumberFormat="1" applyFont="1" applyFill="1" applyBorder="1" applyAlignment="1">
      <alignment horizontal="center" vertical="center" wrapText="1"/>
    </xf>
    <xf numFmtId="169" fontId="25" fillId="8" borderId="38" xfId="0" applyNumberFormat="1" applyFont="1" applyFill="1" applyBorder="1" applyAlignment="1">
      <alignment horizontal="center" vertical="center" wrapText="1"/>
    </xf>
    <xf numFmtId="169" fontId="3" fillId="8" borderId="36" xfId="0" applyNumberFormat="1" applyFont="1" applyFill="1" applyBorder="1" applyAlignment="1">
      <alignment horizontal="center" vertical="center" wrapText="1"/>
    </xf>
    <xf numFmtId="0" fontId="40" fillId="8" borderId="36" xfId="0" applyFont="1" applyFill="1" applyBorder="1" applyAlignment="1">
      <alignment horizontal="center" vertical="center"/>
    </xf>
    <xf numFmtId="0" fontId="40" fillId="8" borderId="40" xfId="0" applyFont="1" applyFill="1" applyBorder="1" applyAlignment="1">
      <alignment horizontal="center" vertical="center" wrapText="1"/>
    </xf>
    <xf numFmtId="0" fontId="41" fillId="8" borderId="40" xfId="0" applyFont="1" applyFill="1" applyBorder="1" applyAlignment="1">
      <alignment horizontal="center" vertical="center" wrapText="1"/>
    </xf>
    <xf numFmtId="0" fontId="41" fillId="8" borderId="43" xfId="0" applyFont="1" applyFill="1" applyBorder="1" applyAlignment="1">
      <alignment horizontal="center" vertical="center" wrapText="1"/>
    </xf>
    <xf numFmtId="1" fontId="3" fillId="8" borderId="36" xfId="0" applyNumberFormat="1" applyFont="1" applyFill="1" applyBorder="1" applyAlignment="1">
      <alignment horizontal="center" vertical="center" wrapText="1"/>
    </xf>
    <xf numFmtId="1" fontId="3" fillId="8" borderId="40" xfId="0" applyNumberFormat="1" applyFont="1" applyFill="1" applyBorder="1" applyAlignment="1">
      <alignment horizontal="center" vertical="center" wrapText="1"/>
    </xf>
    <xf numFmtId="1" fontId="25" fillId="8" borderId="38" xfId="0" applyNumberFormat="1" applyFont="1" applyFill="1" applyBorder="1" applyAlignment="1">
      <alignment horizontal="center" vertical="center" wrapText="1"/>
    </xf>
    <xf numFmtId="1" fontId="8" fillId="8" borderId="36" xfId="0" applyNumberFormat="1" applyFont="1" applyFill="1" applyBorder="1" applyAlignment="1">
      <alignment horizontal="center" vertical="center" wrapText="1"/>
    </xf>
    <xf numFmtId="1" fontId="8" fillId="8" borderId="40" xfId="0" applyNumberFormat="1" applyFont="1" applyFill="1" applyBorder="1" applyAlignment="1">
      <alignment horizontal="center" vertical="center" wrapText="1"/>
    </xf>
    <xf numFmtId="0" fontId="26" fillId="8" borderId="38" xfId="0" applyFont="1" applyFill="1" applyBorder="1" applyAlignment="1">
      <alignment horizontal="center" vertical="center"/>
    </xf>
    <xf numFmtId="0" fontId="41" fillId="8" borderId="40" xfId="0" applyFont="1" applyFill="1" applyBorder="1" applyAlignment="1">
      <alignment horizontal="center" vertical="center"/>
    </xf>
    <xf numFmtId="0" fontId="41" fillId="8" borderId="38" xfId="0" applyFont="1" applyFill="1" applyBorder="1" applyAlignment="1">
      <alignment horizontal="center" vertical="center" wrapText="1"/>
    </xf>
    <xf numFmtId="0" fontId="8" fillId="8" borderId="62" xfId="0" applyFont="1" applyFill="1" applyBorder="1" applyAlignment="1">
      <alignment horizontal="center" vertical="center"/>
    </xf>
    <xf numFmtId="0" fontId="8" fillId="8" borderId="54" xfId="0" applyFont="1" applyFill="1" applyBorder="1" applyAlignment="1">
      <alignment horizontal="center" vertical="center"/>
    </xf>
    <xf numFmtId="169" fontId="25" fillId="8" borderId="63" xfId="0" applyNumberFormat="1" applyFont="1" applyFill="1" applyBorder="1" applyAlignment="1">
      <alignment horizontal="center" vertical="center"/>
    </xf>
    <xf numFmtId="0" fontId="8" fillId="8" borderId="54" xfId="0" applyFont="1" applyFill="1" applyBorder="1" applyAlignment="1">
      <alignment horizontal="center" vertical="center" wrapText="1"/>
    </xf>
    <xf numFmtId="0" fontId="26" fillId="8" borderId="54" xfId="0" applyFont="1" applyFill="1" applyBorder="1" applyAlignment="1">
      <alignment horizontal="center" vertical="center"/>
    </xf>
    <xf numFmtId="0" fontId="46" fillId="8" borderId="34" xfId="0" applyFont="1" applyFill="1" applyBorder="1" applyAlignment="1">
      <alignment horizontal="center" vertical="center"/>
    </xf>
    <xf numFmtId="169" fontId="3" fillId="8" borderId="40" xfId="0" applyNumberFormat="1" applyFont="1" applyFill="1" applyBorder="1" applyAlignment="1">
      <alignment horizontal="center" vertical="center" wrapText="1"/>
    </xf>
    <xf numFmtId="169" fontId="40" fillId="8" borderId="36" xfId="0" applyNumberFormat="1" applyFont="1" applyFill="1" applyBorder="1" applyAlignment="1">
      <alignment horizontal="center" vertical="center"/>
    </xf>
    <xf numFmtId="169" fontId="41" fillId="8" borderId="38" xfId="0" applyNumberFormat="1" applyFont="1" applyFill="1" applyBorder="1" applyAlignment="1">
      <alignment horizontal="center" vertical="center"/>
    </xf>
    <xf numFmtId="169" fontId="25" fillId="8" borderId="40" xfId="0" applyNumberFormat="1" applyFont="1" applyFill="1" applyBorder="1" applyAlignment="1">
      <alignment horizontal="center" vertical="center"/>
    </xf>
    <xf numFmtId="0" fontId="46" fillId="6" borderId="8" xfId="0" applyFont="1" applyFill="1" applyBorder="1" applyAlignment="1">
      <alignment horizontal="center" vertical="center"/>
    </xf>
    <xf numFmtId="1" fontId="3" fillId="6" borderId="22" xfId="0" applyNumberFormat="1" applyFont="1" applyFill="1" applyBorder="1" applyAlignment="1">
      <alignment horizontal="center" vertical="center" wrapText="1"/>
    </xf>
    <xf numFmtId="0" fontId="40" fillId="6" borderId="22" xfId="0" applyFont="1" applyFill="1" applyBorder="1" applyAlignment="1">
      <alignment horizontal="center" vertical="center" wrapText="1"/>
    </xf>
    <xf numFmtId="0" fontId="41" fillId="6" borderId="23" xfId="0" applyFont="1" applyFill="1" applyBorder="1" applyAlignment="1">
      <alignment horizontal="center" vertical="center" wrapText="1"/>
    </xf>
    <xf numFmtId="1" fontId="3" fillId="6" borderId="24" xfId="0" applyNumberFormat="1" applyFont="1" applyFill="1" applyBorder="1" applyAlignment="1">
      <alignment horizontal="center" vertical="center" wrapText="1"/>
    </xf>
    <xf numFmtId="0" fontId="25" fillId="6" borderId="24" xfId="0" applyFont="1" applyFill="1" applyBorder="1" applyAlignment="1">
      <alignment horizontal="center" vertical="center" wrapText="1"/>
    </xf>
    <xf numFmtId="1" fontId="8" fillId="6" borderId="22" xfId="0" applyNumberFormat="1" applyFont="1" applyFill="1" applyBorder="1" applyAlignment="1">
      <alignment horizontal="center" vertical="center" wrapText="1"/>
    </xf>
    <xf numFmtId="0" fontId="3" fillId="6" borderId="22" xfId="0" applyFont="1" applyFill="1" applyBorder="1" applyAlignment="1">
      <alignment horizontal="center" vertical="center"/>
    </xf>
    <xf numFmtId="169" fontId="25" fillId="6" borderId="23" xfId="0" applyNumberFormat="1" applyFont="1" applyFill="1" applyBorder="1" applyAlignment="1">
      <alignment horizontal="center" vertical="center"/>
    </xf>
    <xf numFmtId="169" fontId="25" fillId="6" borderId="24" xfId="0" applyNumberFormat="1" applyFont="1" applyFill="1" applyBorder="1" applyAlignment="1">
      <alignment horizontal="center" vertical="center" wrapText="1"/>
    </xf>
    <xf numFmtId="1" fontId="25" fillId="6" borderId="23" xfId="0" applyNumberFormat="1" applyFont="1" applyFill="1" applyBorder="1" applyAlignment="1">
      <alignment horizontal="center" vertical="center" wrapText="1"/>
    </xf>
    <xf numFmtId="1" fontId="8" fillId="6" borderId="24" xfId="0" applyNumberFormat="1" applyFont="1" applyFill="1" applyBorder="1" applyAlignment="1">
      <alignment horizontal="center" vertical="center" wrapText="1"/>
    </xf>
    <xf numFmtId="1" fontId="26" fillId="6" borderId="23" xfId="0" applyNumberFormat="1" applyFont="1" applyFill="1" applyBorder="1" applyAlignment="1">
      <alignment horizontal="center" vertical="center"/>
    </xf>
    <xf numFmtId="0" fontId="40" fillId="6" borderId="22" xfId="0" applyFont="1" applyFill="1" applyBorder="1" applyAlignment="1">
      <alignment horizontal="center" vertical="center"/>
    </xf>
    <xf numFmtId="0" fontId="40" fillId="6" borderId="24" xfId="0" applyFont="1" applyFill="1" applyBorder="1" applyAlignment="1">
      <alignment horizontal="center" vertical="center" wrapText="1"/>
    </xf>
    <xf numFmtId="0" fontId="41" fillId="6" borderId="24"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33" xfId="0" applyFont="1" applyFill="1" applyBorder="1" applyAlignment="1">
      <alignment horizontal="center" vertical="center" wrapText="1"/>
    </xf>
    <xf numFmtId="0" fontId="33" fillId="7" borderId="33" xfId="0" applyFont="1" applyFill="1" applyBorder="1" applyAlignment="1">
      <alignment horizontal="center" vertical="center" wrapText="1"/>
    </xf>
    <xf numFmtId="0" fontId="33" fillId="7" borderId="8" xfId="0" applyFont="1" applyFill="1" applyBorder="1" applyAlignment="1">
      <alignment horizontal="center" vertical="center" wrapText="1"/>
    </xf>
    <xf numFmtId="0" fontId="41" fillId="6" borderId="24" xfId="0" applyFont="1" applyFill="1" applyBorder="1" applyAlignment="1">
      <alignment horizontal="center" vertical="center" wrapText="1"/>
    </xf>
    <xf numFmtId="0" fontId="41" fillId="6" borderId="42" xfId="0" applyFont="1" applyFill="1" applyBorder="1" applyAlignment="1">
      <alignment horizontal="center" vertical="center" wrapText="1"/>
    </xf>
    <xf numFmtId="164" fontId="8" fillId="6" borderId="8" xfId="0" applyNumberFormat="1" applyFont="1" applyFill="1" applyBorder="1" applyAlignment="1">
      <alignment vertical="center" wrapText="1"/>
    </xf>
    <xf numFmtId="164" fontId="8" fillId="6" borderId="34" xfId="0" applyNumberFormat="1" applyFont="1" applyFill="1" applyBorder="1" applyAlignment="1">
      <alignment vertical="center" wrapText="1"/>
    </xf>
    <xf numFmtId="164" fontId="8" fillId="6" borderId="8" xfId="0" applyNumberFormat="1" applyFont="1" applyFill="1" applyBorder="1" applyAlignment="1">
      <alignment vertical="center"/>
    </xf>
    <xf numFmtId="0" fontId="6" fillId="9" borderId="45" xfId="0" applyFont="1" applyFill="1" applyBorder="1" applyAlignment="1">
      <alignment horizontal="left" vertical="center"/>
    </xf>
    <xf numFmtId="0" fontId="14" fillId="9" borderId="46" xfId="0" applyFont="1" applyFill="1" applyBorder="1" applyAlignment="1">
      <alignment horizontal="left" vertical="center"/>
    </xf>
    <xf numFmtId="0" fontId="3" fillId="6" borderId="83" xfId="0" applyFont="1" applyFill="1" applyBorder="1"/>
    <xf numFmtId="0" fontId="3" fillId="10" borderId="81" xfId="0" applyFont="1" applyFill="1" applyBorder="1"/>
    <xf numFmtId="164" fontId="8" fillId="6" borderId="68" xfId="0" applyNumberFormat="1" applyFont="1" applyFill="1" applyBorder="1" applyAlignment="1">
      <alignment horizontal="center" vertical="center"/>
    </xf>
    <xf numFmtId="164" fontId="8" fillId="8" borderId="34" xfId="0" applyNumberFormat="1" applyFont="1" applyFill="1" applyBorder="1" applyAlignment="1">
      <alignment horizontal="center" vertical="center"/>
    </xf>
    <xf numFmtId="164" fontId="8" fillId="6" borderId="69" xfId="0" applyNumberFormat="1" applyFont="1" applyFill="1" applyBorder="1" applyAlignment="1">
      <alignment horizontal="center" vertical="center"/>
    </xf>
    <xf numFmtId="164" fontId="8" fillId="8" borderId="49" xfId="0" applyNumberFormat="1" applyFont="1" applyFill="1" applyBorder="1" applyAlignment="1">
      <alignment horizontal="center" vertical="center"/>
    </xf>
    <xf numFmtId="0" fontId="46" fillId="9" borderId="33" xfId="0" applyFont="1" applyFill="1" applyBorder="1" applyAlignment="1">
      <alignment horizontal="center" vertical="center" wrapText="1"/>
    </xf>
    <xf numFmtId="0" fontId="46" fillId="9" borderId="8" xfId="0" applyFont="1" applyFill="1" applyBorder="1" applyAlignment="1">
      <alignment horizontal="center" vertical="center" wrapText="1"/>
    </xf>
    <xf numFmtId="0" fontId="25" fillId="8" borderId="40" xfId="0" applyFont="1" applyFill="1" applyBorder="1" applyAlignment="1">
      <alignment horizontal="center" vertical="center" wrapText="1"/>
    </xf>
    <xf numFmtId="0" fontId="3" fillId="0" borderId="33" xfId="0" applyFont="1" applyBorder="1" applyAlignment="1">
      <alignment horizontal="center" vertical="center" wrapText="1"/>
    </xf>
    <xf numFmtId="0" fontId="8" fillId="0" borderId="35" xfId="0" applyFont="1" applyBorder="1" applyAlignment="1">
      <alignment horizontal="right" vertical="center" wrapText="1"/>
    </xf>
    <xf numFmtId="0" fontId="3" fillId="3" borderId="39" xfId="0" applyFont="1" applyFill="1" applyBorder="1" applyAlignment="1">
      <alignment horizontal="right" vertical="center" wrapText="1"/>
    </xf>
    <xf numFmtId="0" fontId="25" fillId="3" borderId="37" xfId="0" applyFont="1" applyFill="1" applyBorder="1" applyAlignment="1">
      <alignment horizontal="right" vertical="center" wrapText="1"/>
    </xf>
    <xf numFmtId="0" fontId="3" fillId="3" borderId="35" xfId="0" applyFont="1" applyFill="1" applyBorder="1" applyAlignment="1">
      <alignment horizontal="right" vertical="center" wrapText="1"/>
    </xf>
    <xf numFmtId="0" fontId="26" fillId="3" borderId="37" xfId="0" applyFont="1" applyFill="1" applyBorder="1" applyAlignment="1">
      <alignment horizontal="right" vertical="center" wrapText="1"/>
    </xf>
    <xf numFmtId="164" fontId="8" fillId="10" borderId="8" xfId="0" applyNumberFormat="1" applyFont="1" applyFill="1" applyBorder="1" applyAlignment="1">
      <alignment horizontal="right" vertical="center"/>
    </xf>
    <xf numFmtId="164" fontId="8" fillId="6" borderId="8" xfId="0" applyNumberFormat="1" applyFont="1" applyFill="1" applyBorder="1" applyAlignment="1">
      <alignment horizontal="right" vertical="center"/>
    </xf>
    <xf numFmtId="164" fontId="8" fillId="6" borderId="34" xfId="0" applyNumberFormat="1" applyFont="1" applyFill="1" applyBorder="1" applyAlignment="1">
      <alignment horizontal="right" vertical="center"/>
    </xf>
    <xf numFmtId="164" fontId="8" fillId="2" borderId="8" xfId="0" applyNumberFormat="1" applyFont="1" applyFill="1" applyBorder="1" applyAlignment="1">
      <alignment horizontal="right" vertical="center"/>
    </xf>
    <xf numFmtId="164" fontId="3" fillId="2" borderId="8" xfId="0" applyNumberFormat="1" applyFont="1" applyFill="1" applyBorder="1" applyAlignment="1">
      <alignment horizontal="right" vertical="center"/>
    </xf>
    <xf numFmtId="164" fontId="8" fillId="8" borderId="8" xfId="0" applyNumberFormat="1" applyFont="1" applyFill="1" applyBorder="1" applyAlignment="1">
      <alignment horizontal="right" vertical="center"/>
    </xf>
    <xf numFmtId="164" fontId="8" fillId="8" borderId="34" xfId="0" applyNumberFormat="1" applyFont="1" applyFill="1" applyBorder="1" applyAlignment="1">
      <alignment horizontal="right" vertical="center"/>
    </xf>
    <xf numFmtId="164" fontId="8" fillId="0" borderId="8" xfId="0" applyNumberFormat="1" applyFont="1" applyBorder="1" applyAlignment="1">
      <alignment horizontal="right" vertical="center"/>
    </xf>
    <xf numFmtId="164" fontId="8" fillId="0" borderId="34" xfId="0" applyNumberFormat="1" applyFont="1" applyBorder="1" applyAlignment="1">
      <alignment horizontal="right" vertical="center"/>
    </xf>
    <xf numFmtId="164" fontId="31" fillId="0" borderId="8" xfId="0" applyNumberFormat="1" applyFont="1" applyBorder="1" applyAlignment="1">
      <alignment horizontal="right" vertical="center"/>
    </xf>
    <xf numFmtId="164" fontId="31" fillId="0" borderId="34" xfId="0" applyNumberFormat="1" applyFont="1" applyBorder="1" applyAlignment="1">
      <alignment horizontal="right" vertical="center"/>
    </xf>
    <xf numFmtId="164" fontId="16" fillId="2" borderId="8" xfId="0" applyNumberFormat="1" applyFont="1" applyFill="1" applyBorder="1" applyAlignment="1">
      <alignment horizontal="right" vertical="center"/>
    </xf>
    <xf numFmtId="168" fontId="8" fillId="10" borderId="8" xfId="0" applyNumberFormat="1" applyFont="1" applyFill="1" applyBorder="1" applyAlignment="1">
      <alignment horizontal="right" vertical="center"/>
    </xf>
    <xf numFmtId="168" fontId="8" fillId="10" borderId="34" xfId="0" applyNumberFormat="1" applyFont="1" applyFill="1" applyBorder="1" applyAlignment="1">
      <alignment horizontal="right" vertical="center"/>
    </xf>
    <xf numFmtId="164" fontId="16" fillId="2" borderId="48" xfId="0" applyNumberFormat="1" applyFont="1" applyFill="1" applyBorder="1" applyAlignment="1">
      <alignment horizontal="right" vertical="center"/>
    </xf>
    <xf numFmtId="164" fontId="8" fillId="6" borderId="48" xfId="0" applyNumberFormat="1" applyFont="1" applyFill="1" applyBorder="1" applyAlignment="1">
      <alignment horizontal="right" vertical="center"/>
    </xf>
    <xf numFmtId="164" fontId="31" fillId="0" borderId="48" xfId="0" applyNumberFormat="1" applyFont="1" applyBorder="1" applyAlignment="1">
      <alignment horizontal="right" vertical="center"/>
    </xf>
    <xf numFmtId="164" fontId="31" fillId="0" borderId="49" xfId="0" applyNumberFormat="1" applyFont="1" applyBorder="1" applyAlignment="1">
      <alignment horizontal="right" vertical="center"/>
    </xf>
    <xf numFmtId="164" fontId="8" fillId="0" borderId="8" xfId="0" applyNumberFormat="1" applyFont="1" applyBorder="1" applyAlignment="1">
      <alignment horizontal="right" vertical="center" wrapText="1"/>
    </xf>
    <xf numFmtId="164" fontId="8" fillId="0" borderId="34" xfId="0" applyNumberFormat="1" applyFont="1" applyBorder="1" applyAlignment="1">
      <alignment horizontal="right" vertical="center" wrapText="1"/>
    </xf>
    <xf numFmtId="169" fontId="3" fillId="8" borderId="40" xfId="0" applyNumberFormat="1" applyFont="1" applyFill="1" applyBorder="1" applyAlignment="1">
      <alignment horizontal="center" vertical="center"/>
    </xf>
    <xf numFmtId="0" fontId="25" fillId="3" borderId="23" xfId="0" applyFont="1" applyFill="1" applyBorder="1" applyAlignment="1">
      <alignment horizontal="justify" vertical="center" wrapText="1"/>
    </xf>
    <xf numFmtId="172" fontId="8" fillId="8" borderId="40" xfId="0" applyNumberFormat="1" applyFont="1" applyFill="1" applyBorder="1" applyAlignment="1">
      <alignment horizontal="center" vertical="center" wrapText="1"/>
    </xf>
    <xf numFmtId="0" fontId="26" fillId="3" borderId="23" xfId="0" applyFont="1" applyFill="1" applyBorder="1" applyAlignment="1">
      <alignment horizontal="justify" vertical="center" wrapText="1"/>
    </xf>
    <xf numFmtId="0" fontId="43" fillId="0" borderId="0" xfId="0" applyFont="1" applyAlignment="1">
      <alignment vertical="center"/>
    </xf>
    <xf numFmtId="0" fontId="23" fillId="0" borderId="0" xfId="0" applyFont="1" applyAlignment="1">
      <alignment vertical="center"/>
    </xf>
    <xf numFmtId="0" fontId="13" fillId="0" borderId="0" xfId="0" applyFont="1" applyAlignment="1">
      <alignment vertical="center"/>
    </xf>
    <xf numFmtId="0" fontId="44" fillId="0" borderId="0" xfId="0" applyFont="1" applyAlignment="1">
      <alignment vertical="center"/>
    </xf>
    <xf numFmtId="0" fontId="3" fillId="0" borderId="0" xfId="0" applyFont="1" applyAlignment="1">
      <alignment horizontal="right" vertical="center"/>
    </xf>
    <xf numFmtId="173" fontId="8" fillId="6" borderId="33" xfId="0" applyNumberFormat="1" applyFont="1" applyFill="1" applyBorder="1" applyAlignment="1">
      <alignment horizontal="center" vertical="center"/>
    </xf>
    <xf numFmtId="173" fontId="8" fillId="8" borderId="84" xfId="0" applyNumberFormat="1" applyFont="1" applyFill="1" applyBorder="1" applyAlignment="1">
      <alignment horizontal="center" vertical="center"/>
    </xf>
    <xf numFmtId="0" fontId="3" fillId="3" borderId="28" xfId="0" applyFont="1" applyFill="1" applyBorder="1" applyAlignment="1">
      <alignment horizontal="right" vertical="center" wrapText="1"/>
    </xf>
    <xf numFmtId="0" fontId="25" fillId="3" borderId="18" xfId="0" applyFont="1" applyFill="1" applyBorder="1" applyAlignment="1">
      <alignment horizontal="right" vertical="center" wrapText="1"/>
    </xf>
    <xf numFmtId="174" fontId="8" fillId="0" borderId="8" xfId="0" applyNumberFormat="1" applyFont="1" applyBorder="1" applyAlignment="1">
      <alignment vertical="center"/>
    </xf>
    <xf numFmtId="174" fontId="8" fillId="0" borderId="34" xfId="0" applyNumberFormat="1" applyFont="1" applyBorder="1" applyAlignment="1">
      <alignment vertical="center"/>
    </xf>
    <xf numFmtId="0" fontId="4" fillId="0" borderId="0" xfId="1" applyFont="1" applyFill="1" applyBorder="1" applyAlignment="1" applyProtection="1">
      <alignment vertical="center"/>
    </xf>
    <xf numFmtId="0" fontId="5" fillId="0" borderId="0" xfId="0" applyFont="1" applyAlignment="1">
      <alignment vertical="center"/>
    </xf>
    <xf numFmtId="0" fontId="3" fillId="7" borderId="8" xfId="0" applyFont="1" applyFill="1" applyBorder="1" applyAlignment="1">
      <alignment horizontal="left" vertical="center" wrapText="1"/>
    </xf>
    <xf numFmtId="0" fontId="25" fillId="3" borderId="23" xfId="0" applyFont="1" applyFill="1" applyBorder="1" applyAlignment="1">
      <alignment vertical="center" wrapText="1"/>
    </xf>
    <xf numFmtId="0" fontId="3" fillId="3" borderId="27" xfId="0" applyFont="1" applyFill="1" applyBorder="1" applyAlignment="1">
      <alignment vertical="center" wrapText="1"/>
    </xf>
    <xf numFmtId="0" fontId="3" fillId="3" borderId="28" xfId="0" applyFont="1" applyFill="1" applyBorder="1" applyAlignment="1">
      <alignment vertical="center" wrapText="1"/>
    </xf>
    <xf numFmtId="0" fontId="3" fillId="3" borderId="15" xfId="0" applyFont="1" applyFill="1" applyBorder="1" applyAlignment="1">
      <alignment vertical="center" wrapText="1"/>
    </xf>
    <xf numFmtId="0" fontId="3" fillId="3" borderId="65" xfId="0" applyFont="1" applyFill="1" applyBorder="1" applyAlignment="1">
      <alignment vertical="center" wrapText="1"/>
    </xf>
    <xf numFmtId="0" fontId="3" fillId="3" borderId="66" xfId="0" applyFont="1" applyFill="1" applyBorder="1" applyAlignment="1">
      <alignment vertical="center" wrapText="1"/>
    </xf>
    <xf numFmtId="169" fontId="25" fillId="6" borderId="42" xfId="0" applyNumberFormat="1" applyFont="1" applyFill="1" applyBorder="1" applyAlignment="1">
      <alignment horizontal="center" vertical="center" wrapText="1"/>
    </xf>
    <xf numFmtId="0" fontId="26" fillId="8" borderId="67" xfId="0" applyFont="1" applyFill="1" applyBorder="1" applyAlignment="1">
      <alignment horizontal="center" vertical="center" wrapText="1"/>
    </xf>
    <xf numFmtId="0" fontId="23"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vertical="center"/>
    </xf>
    <xf numFmtId="0" fontId="3" fillId="0" borderId="0" xfId="0" quotePrefix="1" applyFont="1" applyAlignment="1">
      <alignment horizontal="right" vertical="center"/>
    </xf>
    <xf numFmtId="0" fontId="16"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right" vertical="center" wrapText="1"/>
    </xf>
    <xf numFmtId="164" fontId="3"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8" fontId="3" fillId="0" borderId="0" xfId="0" applyNumberFormat="1" applyFont="1" applyAlignment="1">
      <alignment horizontal="center" vertical="center"/>
    </xf>
    <xf numFmtId="0" fontId="3" fillId="0" borderId="0" xfId="0" applyFont="1" applyAlignment="1">
      <alignment vertical="center" wrapText="1"/>
    </xf>
    <xf numFmtId="0" fontId="5" fillId="0" borderId="0" xfId="0" applyFont="1" applyAlignment="1">
      <alignment horizontal="left" vertical="center"/>
    </xf>
    <xf numFmtId="0" fontId="30" fillId="0" borderId="0" xfId="0" applyFont="1" applyAlignment="1">
      <alignment vertical="center"/>
    </xf>
    <xf numFmtId="1" fontId="30" fillId="0" borderId="0" xfId="0" applyNumberFormat="1" applyFont="1" applyAlignment="1">
      <alignment horizontal="center" vertical="center"/>
    </xf>
    <xf numFmtId="0" fontId="8" fillId="0" borderId="0" xfId="0" applyFont="1" applyAlignment="1">
      <alignment vertical="center"/>
    </xf>
    <xf numFmtId="0" fontId="18" fillId="0" borderId="0" xfId="0" applyFont="1" applyAlignment="1">
      <alignment vertical="center"/>
    </xf>
    <xf numFmtId="175" fontId="51" fillId="0" borderId="0" xfId="6" applyNumberFormat="1" applyFont="1" applyAlignment="1">
      <alignment horizontal="right" vertical="center" shrinkToFit="1"/>
    </xf>
    <xf numFmtId="170" fontId="51" fillId="0" borderId="0" xfId="6" applyNumberFormat="1" applyFont="1" applyAlignment="1">
      <alignment horizontal="right" vertical="center" shrinkToFit="1"/>
    </xf>
    <xf numFmtId="0" fontId="38" fillId="0" borderId="0" xfId="1" applyFont="1" applyFill="1" applyBorder="1" applyAlignment="1" applyProtection="1">
      <alignment horizontal="left" vertical="center"/>
    </xf>
    <xf numFmtId="0" fontId="3" fillId="0" borderId="8" xfId="0" applyFont="1" applyBorder="1" applyAlignment="1">
      <alignment vertical="center" wrapText="1"/>
    </xf>
    <xf numFmtId="0" fontId="54" fillId="0" borderId="89" xfId="0" applyFont="1" applyBorder="1" applyAlignment="1">
      <alignment vertical="center" wrapText="1"/>
    </xf>
    <xf numFmtId="0" fontId="25" fillId="0" borderId="8" xfId="0" applyFont="1" applyBorder="1" applyAlignment="1">
      <alignment horizontal="center" vertical="center" wrapText="1"/>
    </xf>
    <xf numFmtId="0" fontId="51" fillId="0" borderId="8" xfId="0" applyFont="1" applyBorder="1" applyAlignment="1">
      <alignment vertical="center" wrapText="1"/>
    </xf>
    <xf numFmtId="14" fontId="56" fillId="0" borderId="90" xfId="0" applyNumberFormat="1" applyFont="1" applyBorder="1" applyAlignment="1">
      <alignment horizontal="center" vertical="center" wrapText="1"/>
    </xf>
    <xf numFmtId="14" fontId="51" fillId="0" borderId="8" xfId="0" applyNumberFormat="1" applyFont="1" applyBorder="1" applyAlignment="1">
      <alignment horizontal="center" vertical="center" wrapText="1"/>
    </xf>
    <xf numFmtId="14" fontId="51" fillId="3" borderId="8" xfId="0" applyNumberFormat="1" applyFont="1" applyFill="1" applyBorder="1" applyAlignment="1">
      <alignment horizontal="center" vertical="center" wrapText="1"/>
    </xf>
    <xf numFmtId="14" fontId="57" fillId="0" borderId="8" xfId="0" applyNumberFormat="1" applyFont="1" applyBorder="1" applyAlignment="1">
      <alignment horizontal="center" vertical="center" wrapText="1"/>
    </xf>
    <xf numFmtId="0" fontId="58" fillId="3" borderId="24" xfId="0" applyFont="1" applyFill="1" applyBorder="1" applyAlignment="1">
      <alignment horizontal="right" vertical="top"/>
    </xf>
    <xf numFmtId="0" fontId="59" fillId="3" borderId="23" xfId="0" applyFont="1" applyFill="1" applyBorder="1" applyAlignment="1">
      <alignment horizontal="right" vertical="top"/>
    </xf>
    <xf numFmtId="0" fontId="40" fillId="3" borderId="24" xfId="0" applyFont="1" applyFill="1" applyBorder="1" applyAlignment="1">
      <alignment horizontal="right" vertical="center"/>
    </xf>
    <xf numFmtId="0" fontId="3" fillId="6" borderId="89" xfId="0" applyFont="1" applyFill="1" applyBorder="1" applyAlignment="1">
      <alignment horizontal="center" vertical="center" wrapText="1"/>
    </xf>
    <xf numFmtId="0" fontId="41" fillId="3" borderId="23" xfId="0" applyFont="1" applyFill="1" applyBorder="1" applyAlignment="1">
      <alignment horizontal="right" vertical="center"/>
    </xf>
    <xf numFmtId="0" fontId="40" fillId="3" borderId="24" xfId="0" applyFont="1" applyFill="1" applyBorder="1" applyAlignment="1">
      <alignment vertical="center"/>
    </xf>
    <xf numFmtId="0" fontId="8" fillId="11" borderId="90" xfId="0" applyFont="1" applyFill="1" applyBorder="1" applyAlignment="1">
      <alignment horizontal="center" vertical="center" wrapText="1"/>
    </xf>
    <xf numFmtId="0" fontId="8" fillId="12" borderId="90" xfId="0" applyFont="1" applyFill="1" applyBorder="1" applyAlignment="1">
      <alignment horizontal="center" vertical="center" wrapText="1"/>
    </xf>
    <xf numFmtId="0" fontId="8" fillId="13" borderId="90" xfId="0" applyFont="1" applyFill="1" applyBorder="1" applyAlignment="1">
      <alignment horizontal="center" vertical="center" wrapText="1"/>
    </xf>
    <xf numFmtId="0" fontId="41" fillId="3" borderId="23" xfId="0" applyFont="1" applyFill="1" applyBorder="1" applyAlignment="1">
      <alignment vertical="center"/>
    </xf>
    <xf numFmtId="0" fontId="40" fillId="3" borderId="22" xfId="0" applyFont="1" applyFill="1" applyBorder="1" applyAlignment="1">
      <alignment vertical="center"/>
    </xf>
    <xf numFmtId="0" fontId="3" fillId="3" borderId="17"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60" fillId="11" borderId="17" xfId="0" applyFont="1" applyFill="1" applyBorder="1" applyAlignment="1">
      <alignment horizontal="center" vertical="center" wrapText="1"/>
    </xf>
    <xf numFmtId="0" fontId="61" fillId="11" borderId="27" xfId="0" applyFont="1" applyFill="1" applyBorder="1" applyAlignment="1">
      <alignment horizontal="center" vertical="center"/>
    </xf>
    <xf numFmtId="0" fontId="61" fillId="11" borderId="28" xfId="0" applyFont="1" applyFill="1" applyBorder="1" applyAlignment="1">
      <alignment horizontal="center" vertical="center"/>
    </xf>
    <xf numFmtId="0" fontId="62" fillId="12" borderId="14" xfId="0" applyFont="1" applyFill="1" applyBorder="1" applyAlignment="1">
      <alignment horizontal="center" vertical="center"/>
    </xf>
    <xf numFmtId="0" fontId="62" fillId="12" borderId="15" xfId="0" applyFont="1" applyFill="1" applyBorder="1" applyAlignment="1">
      <alignment horizontal="center" vertical="center"/>
    </xf>
    <xf numFmtId="0" fontId="3" fillId="13" borderId="14" xfId="0" applyFont="1" applyFill="1" applyBorder="1" applyAlignment="1">
      <alignment horizontal="center" vertical="center"/>
    </xf>
    <xf numFmtId="0" fontId="3" fillId="13" borderId="15" xfId="0" applyFont="1" applyFill="1" applyBorder="1" applyAlignment="1">
      <alignment horizontal="center" vertical="center"/>
    </xf>
    <xf numFmtId="0" fontId="3" fillId="7" borderId="18"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4" fillId="0" borderId="14" xfId="0" applyFont="1" applyBorder="1" applyAlignment="1">
      <alignment horizontal="left" indent="2"/>
    </xf>
    <xf numFmtId="0" fontId="34" fillId="0" borderId="0" xfId="0" applyFont="1" applyAlignment="1">
      <alignment horizontal="left" indent="2"/>
    </xf>
    <xf numFmtId="0" fontId="35" fillId="0" borderId="15" xfId="0" applyFont="1" applyBorder="1"/>
    <xf numFmtId="0" fontId="32" fillId="0" borderId="0" xfId="1" applyFont="1" applyBorder="1" applyAlignment="1" applyProtection="1">
      <alignment horizontal="left" indent="2"/>
    </xf>
    <xf numFmtId="164" fontId="3" fillId="6" borderId="89" xfId="0" applyNumberFormat="1" applyFont="1" applyFill="1" applyBorder="1" applyAlignment="1">
      <alignment horizontal="center" vertical="center" wrapText="1"/>
    </xf>
    <xf numFmtId="164" fontId="3" fillId="8" borderId="89" xfId="0" applyNumberFormat="1" applyFont="1" applyFill="1" applyBorder="1" applyAlignment="1">
      <alignment horizontal="center" vertical="center" wrapText="1"/>
    </xf>
    <xf numFmtId="0" fontId="3" fillId="0" borderId="54" xfId="0" applyFont="1" applyBorder="1"/>
    <xf numFmtId="0" fontId="8" fillId="0" borderId="0" xfId="1" applyFont="1" applyBorder="1" applyAlignment="1" applyProtection="1">
      <alignment horizontal="justify" vertical="top" wrapText="1"/>
    </xf>
    <xf numFmtId="164" fontId="8" fillId="6" borderId="33" xfId="0" applyNumberFormat="1" applyFont="1" applyFill="1" applyBorder="1" applyAlignment="1">
      <alignment horizontal="center" vertical="center"/>
    </xf>
    <xf numFmtId="164" fontId="3" fillId="8" borderId="34" xfId="0" applyNumberFormat="1" applyFont="1" applyFill="1" applyBorder="1" applyAlignment="1">
      <alignment horizontal="center" vertical="center"/>
    </xf>
    <xf numFmtId="164" fontId="3" fillId="6" borderId="33" xfId="0" applyNumberFormat="1" applyFont="1" applyFill="1" applyBorder="1" applyAlignment="1">
      <alignment horizontal="center" vertical="center"/>
    </xf>
    <xf numFmtId="164" fontId="3" fillId="0" borderId="33" xfId="0" applyNumberFormat="1" applyFont="1" applyBorder="1" applyAlignment="1">
      <alignment horizontal="center" vertical="center"/>
    </xf>
    <xf numFmtId="164" fontId="3" fillId="0" borderId="34" xfId="0" applyNumberFormat="1" applyFont="1" applyBorder="1" applyAlignment="1">
      <alignment horizontal="center" vertical="center"/>
    </xf>
    <xf numFmtId="164" fontId="3" fillId="0" borderId="47" xfId="0" applyNumberFormat="1" applyFont="1" applyBorder="1" applyAlignment="1">
      <alignment horizontal="center" vertical="center"/>
    </xf>
    <xf numFmtId="164" fontId="3" fillId="0" borderId="49" xfId="0" applyNumberFormat="1" applyFont="1" applyBorder="1" applyAlignment="1">
      <alignment horizontal="center" vertical="center"/>
    </xf>
    <xf numFmtId="164" fontId="8" fillId="14" borderId="8" xfId="0" applyNumberFormat="1" applyFont="1" applyFill="1" applyBorder="1" applyAlignment="1">
      <alignment vertical="center" wrapText="1"/>
    </xf>
    <xf numFmtId="164" fontId="8" fillId="14" borderId="34" xfId="0" applyNumberFormat="1" applyFont="1" applyFill="1" applyBorder="1" applyAlignment="1">
      <alignment vertical="center" wrapText="1"/>
    </xf>
    <xf numFmtId="164" fontId="8" fillId="3" borderId="8" xfId="0" applyNumberFormat="1" applyFont="1" applyFill="1" applyBorder="1" applyAlignment="1">
      <alignment vertical="center" wrapText="1"/>
    </xf>
    <xf numFmtId="164" fontId="8" fillId="3" borderId="8" xfId="0" applyNumberFormat="1" applyFont="1" applyFill="1" applyBorder="1" applyAlignment="1">
      <alignment vertical="center"/>
    </xf>
    <xf numFmtId="164" fontId="8" fillId="3" borderId="34" xfId="0" applyNumberFormat="1" applyFont="1" applyFill="1" applyBorder="1" applyAlignment="1">
      <alignment vertical="center" wrapText="1"/>
    </xf>
    <xf numFmtId="14" fontId="57" fillId="0" borderId="8" xfId="0" quotePrefix="1" applyNumberFormat="1" applyFont="1" applyBorder="1" applyAlignment="1">
      <alignment horizontal="center" vertical="center" wrapText="1"/>
    </xf>
    <xf numFmtId="0" fontId="8" fillId="11" borderId="27" xfId="0" applyFont="1" applyFill="1" applyBorder="1" applyAlignment="1">
      <alignment horizontal="center" vertical="center" wrapText="1"/>
    </xf>
    <xf numFmtId="0" fontId="8" fillId="0" borderId="90" xfId="0" applyFont="1" applyBorder="1" applyAlignment="1">
      <alignment horizontal="center" vertical="center" wrapText="1"/>
    </xf>
    <xf numFmtId="0" fontId="8" fillId="12" borderId="14" xfId="0" applyFont="1" applyFill="1" applyBorder="1" applyAlignment="1">
      <alignment horizontal="center" vertical="center" wrapText="1"/>
    </xf>
    <xf numFmtId="0" fontId="8" fillId="13" borderId="14"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6" borderId="87" xfId="0" applyFont="1" applyFill="1" applyBorder="1" applyAlignment="1">
      <alignment horizontal="center" vertical="center" wrapText="1"/>
    </xf>
    <xf numFmtId="164" fontId="31" fillId="15" borderId="8" xfId="0" applyNumberFormat="1" applyFont="1" applyFill="1" applyBorder="1" applyAlignment="1">
      <alignment horizontal="right" vertical="center"/>
    </xf>
    <xf numFmtId="0" fontId="8" fillId="11" borderId="0" xfId="0" applyFont="1" applyFill="1" applyAlignment="1">
      <alignment horizontal="center" vertical="center" wrapText="1"/>
    </xf>
    <xf numFmtId="0" fontId="8" fillId="12" borderId="0" xfId="0" applyFont="1" applyFill="1" applyAlignment="1">
      <alignment horizontal="center" vertical="center" wrapText="1"/>
    </xf>
    <xf numFmtId="0" fontId="8" fillId="13" borderId="0" xfId="0" applyFont="1" applyFill="1" applyAlignment="1">
      <alignment horizontal="center" vertical="center" wrapText="1"/>
    </xf>
    <xf numFmtId="0" fontId="8" fillId="0" borderId="0" xfId="0" applyFont="1" applyAlignment="1">
      <alignment horizontal="center" vertical="center" wrapText="1"/>
    </xf>
    <xf numFmtId="0" fontId="8" fillId="3" borderId="0" xfId="0" applyFont="1" applyFill="1" applyAlignment="1">
      <alignment horizontal="center" vertical="center" wrapText="1"/>
    </xf>
    <xf numFmtId="0" fontId="60" fillId="11" borderId="0" xfId="0" applyFont="1" applyFill="1" applyAlignment="1">
      <alignment horizontal="center" vertical="center" wrapText="1"/>
    </xf>
    <xf numFmtId="164" fontId="3" fillId="8" borderId="28" xfId="0" applyNumberFormat="1"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87" xfId="0" applyFont="1" applyFill="1" applyBorder="1" applyAlignment="1">
      <alignment horizontal="center" vertical="center" wrapText="1"/>
    </xf>
    <xf numFmtId="164" fontId="8" fillId="16" borderId="8" xfId="0" applyNumberFormat="1" applyFont="1" applyFill="1" applyBorder="1" applyAlignment="1">
      <alignment horizontal="right" vertical="center"/>
    </xf>
    <xf numFmtId="165" fontId="8" fillId="3" borderId="8" xfId="0" applyNumberFormat="1" applyFont="1" applyFill="1" applyBorder="1" applyAlignment="1">
      <alignment horizontal="center" vertical="center"/>
    </xf>
    <xf numFmtId="0" fontId="3" fillId="13" borderId="90" xfId="0" applyFont="1" applyFill="1" applyBorder="1"/>
    <xf numFmtId="0" fontId="3" fillId="13" borderId="0" xfId="0" applyFont="1" applyFill="1"/>
    <xf numFmtId="0" fontId="3" fillId="11" borderId="0" xfId="0" applyFont="1" applyFill="1"/>
    <xf numFmtId="0" fontId="3" fillId="11" borderId="17" xfId="0" applyFont="1" applyFill="1" applyBorder="1"/>
    <xf numFmtId="166" fontId="4" fillId="0" borderId="0" xfId="1" applyNumberFormat="1" applyFont="1" applyFill="1" applyBorder="1" applyAlignment="1" applyProtection="1">
      <alignment horizontal="left"/>
    </xf>
    <xf numFmtId="0" fontId="3" fillId="11" borderId="15" xfId="0" applyFont="1" applyFill="1" applyBorder="1"/>
    <xf numFmtId="0" fontId="3" fillId="11" borderId="18" xfId="0" applyFont="1" applyFill="1" applyBorder="1"/>
    <xf numFmtId="0" fontId="3" fillId="13" borderId="15" xfId="0" applyFont="1" applyFill="1" applyBorder="1"/>
    <xf numFmtId="0" fontId="8" fillId="0" borderId="87" xfId="0" applyFont="1" applyBorder="1" applyAlignment="1">
      <alignment horizontal="center" vertical="center"/>
    </xf>
    <xf numFmtId="164" fontId="8" fillId="0" borderId="87" xfId="0" applyNumberFormat="1" applyFont="1" applyBorder="1" applyAlignment="1">
      <alignment horizontal="center" vertical="center"/>
    </xf>
    <xf numFmtId="164" fontId="8" fillId="6" borderId="87" xfId="0" applyNumberFormat="1" applyFont="1" applyFill="1" applyBorder="1" applyAlignment="1">
      <alignment horizontal="right" vertical="center"/>
    </xf>
    <xf numFmtId="164" fontId="8" fillId="8" borderId="87" xfId="0" applyNumberFormat="1" applyFont="1" applyFill="1" applyBorder="1" applyAlignment="1">
      <alignment horizontal="right" vertical="center"/>
    </xf>
    <xf numFmtId="164" fontId="8" fillId="0" borderId="87" xfId="0" applyNumberFormat="1" applyFont="1" applyBorder="1" applyAlignment="1">
      <alignment horizontal="right" vertical="center"/>
    </xf>
    <xf numFmtId="164" fontId="31" fillId="0" borderId="87" xfId="0" applyNumberFormat="1" applyFont="1" applyBorder="1" applyAlignment="1">
      <alignment horizontal="right" vertical="center"/>
    </xf>
    <xf numFmtId="168" fontId="8" fillId="10" borderId="87" xfId="0" applyNumberFormat="1" applyFont="1" applyFill="1" applyBorder="1" applyAlignment="1">
      <alignment horizontal="right" vertical="center"/>
    </xf>
    <xf numFmtId="164" fontId="31" fillId="0" borderId="95" xfId="0" applyNumberFormat="1" applyFont="1" applyBorder="1" applyAlignment="1">
      <alignment horizontal="right" vertical="center"/>
    </xf>
    <xf numFmtId="164" fontId="8" fillId="0" borderId="34" xfId="0" applyNumberFormat="1" applyFont="1" applyBorder="1" applyAlignment="1">
      <alignment horizontal="center" vertical="center"/>
    </xf>
    <xf numFmtId="164" fontId="8" fillId="16" borderId="8" xfId="0" applyNumberFormat="1" applyFont="1" applyFill="1" applyBorder="1" applyAlignment="1">
      <alignment vertical="center"/>
    </xf>
    <xf numFmtId="0" fontId="3" fillId="3" borderId="22"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5" fillId="0" borderId="8" xfId="0" applyFont="1" applyBorder="1" applyAlignment="1">
      <alignment horizontal="center" vertical="center"/>
    </xf>
    <xf numFmtId="164" fontId="3" fillId="6" borderId="8" xfId="0" applyNumberFormat="1" applyFont="1" applyFill="1" applyBorder="1" applyAlignment="1">
      <alignment horizontal="center" vertical="center" wrapText="1"/>
    </xf>
    <xf numFmtId="166" fontId="3" fillId="5" borderId="8" xfId="0" applyNumberFormat="1" applyFont="1" applyFill="1" applyBorder="1" applyAlignment="1">
      <alignment horizontal="center"/>
    </xf>
    <xf numFmtId="164" fontId="3" fillId="8" borderId="8" xfId="0" applyNumberFormat="1" applyFont="1" applyFill="1" applyBorder="1" applyAlignment="1">
      <alignment horizontal="center" vertical="center" wrapText="1"/>
    </xf>
    <xf numFmtId="166" fontId="8" fillId="14" borderId="8" xfId="0" applyNumberFormat="1" applyFont="1" applyFill="1" applyBorder="1" applyAlignment="1">
      <alignment horizontal="center"/>
    </xf>
    <xf numFmtId="0" fontId="3" fillId="12" borderId="15" xfId="0" applyFont="1" applyFill="1" applyBorder="1"/>
    <xf numFmtId="0" fontId="3" fillId="12" borderId="0" xfId="0" applyFont="1" applyFill="1"/>
    <xf numFmtId="0" fontId="33" fillId="4" borderId="9" xfId="0" applyFont="1" applyFill="1" applyBorder="1" applyAlignment="1">
      <alignment horizontal="center"/>
    </xf>
    <xf numFmtId="0" fontId="33" fillId="4" borderId="10" xfId="0" applyFont="1" applyFill="1" applyBorder="1" applyAlignment="1">
      <alignment horizontal="center"/>
    </xf>
    <xf numFmtId="0" fontId="33" fillId="4" borderId="11" xfId="0" applyFont="1" applyFill="1" applyBorder="1" applyAlignment="1">
      <alignment horizontal="center"/>
    </xf>
    <xf numFmtId="0" fontId="34" fillId="5" borderId="14" xfId="0" applyFont="1" applyFill="1" applyBorder="1" applyAlignment="1">
      <alignment horizontal="center" vertical="center" wrapText="1"/>
    </xf>
    <xf numFmtId="0" fontId="34" fillId="5" borderId="0" xfId="0" applyFont="1" applyFill="1" applyAlignment="1">
      <alignment horizontal="center" vertical="center" wrapText="1"/>
    </xf>
    <xf numFmtId="0" fontId="33" fillId="0" borderId="14" xfId="0" applyFont="1" applyBorder="1" applyAlignment="1">
      <alignment horizontal="center"/>
    </xf>
    <xf numFmtId="0" fontId="33" fillId="0" borderId="0" xfId="0" applyFont="1" applyAlignment="1">
      <alignment horizontal="center"/>
    </xf>
    <xf numFmtId="0" fontId="34" fillId="5" borderId="14" xfId="0" applyFont="1" applyFill="1" applyBorder="1" applyAlignment="1">
      <alignment horizontal="left" indent="2"/>
    </xf>
    <xf numFmtId="0" fontId="34" fillId="5" borderId="0" xfId="0" applyFont="1" applyFill="1" applyAlignment="1">
      <alignment horizontal="left" indent="2"/>
    </xf>
    <xf numFmtId="0" fontId="40" fillId="7" borderId="59" xfId="0" applyFont="1" applyFill="1" applyBorder="1" applyAlignment="1">
      <alignment horizontal="right" vertical="center" wrapText="1"/>
    </xf>
    <xf numFmtId="0" fontId="40" fillId="7" borderId="6" xfId="0" applyFont="1" applyFill="1" applyBorder="1" applyAlignment="1">
      <alignment horizontal="right" vertical="center" wrapText="1"/>
    </xf>
    <xf numFmtId="0" fontId="40" fillId="7" borderId="60" xfId="0" applyFont="1" applyFill="1" applyBorder="1" applyAlignment="1">
      <alignment horizontal="right" vertical="center" wrapText="1"/>
    </xf>
    <xf numFmtId="0" fontId="3" fillId="3" borderId="55" xfId="0" applyFont="1" applyFill="1" applyBorder="1" applyAlignment="1">
      <alignment horizontal="right" vertical="center" wrapText="1"/>
    </xf>
    <xf numFmtId="0" fontId="3" fillId="3" borderId="56" xfId="0" applyFont="1" applyFill="1" applyBorder="1" applyAlignment="1">
      <alignment horizontal="right" vertical="center" wrapText="1"/>
    </xf>
    <xf numFmtId="0" fontId="40" fillId="7" borderId="50" xfId="0" applyFont="1" applyFill="1" applyBorder="1" applyAlignment="1">
      <alignment horizontal="left" vertical="center" wrapText="1"/>
    </xf>
    <xf numFmtId="0" fontId="40" fillId="7" borderId="51" xfId="0" applyFont="1" applyFill="1" applyBorder="1" applyAlignment="1">
      <alignment horizontal="left" vertical="center" wrapText="1"/>
    </xf>
    <xf numFmtId="0" fontId="40" fillId="7" borderId="52" xfId="0" applyFont="1" applyFill="1" applyBorder="1" applyAlignment="1">
      <alignment horizontal="left" vertical="center" wrapText="1"/>
    </xf>
    <xf numFmtId="0" fontId="40" fillId="7" borderId="53" xfId="0" applyFont="1" applyFill="1" applyBorder="1" applyAlignment="1">
      <alignment horizontal="right" vertical="center" wrapText="1"/>
    </xf>
    <xf numFmtId="0" fontId="40" fillId="7" borderId="0" xfId="0" applyFont="1" applyFill="1" applyAlignment="1">
      <alignment horizontal="right" vertical="center" wrapText="1"/>
    </xf>
    <xf numFmtId="0" fontId="40" fillId="7" borderId="54" xfId="0"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25" fillId="3" borderId="57" xfId="0" applyFont="1" applyFill="1" applyBorder="1" applyAlignment="1">
      <alignment horizontal="right" vertical="center" wrapText="1"/>
    </xf>
    <xf numFmtId="0" fontId="25" fillId="3" borderId="58" xfId="0" applyFont="1" applyFill="1" applyBorder="1" applyAlignment="1">
      <alignment horizontal="right" vertical="center" wrapText="1"/>
    </xf>
    <xf numFmtId="0" fontId="8" fillId="3" borderId="22"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3" fillId="6" borderId="78" xfId="0" applyFont="1" applyFill="1" applyBorder="1" applyAlignment="1">
      <alignment horizontal="center" vertical="center" wrapText="1"/>
    </xf>
    <xf numFmtId="0" fontId="3" fillId="6" borderId="79" xfId="0" applyFont="1" applyFill="1" applyBorder="1" applyAlignment="1">
      <alignment horizontal="center" vertical="center" wrapText="1"/>
    </xf>
    <xf numFmtId="0" fontId="3" fillId="8" borderId="69" xfId="0" applyFont="1" applyFill="1" applyBorder="1" applyAlignment="1">
      <alignment horizontal="center" vertical="center" wrapText="1"/>
    </xf>
    <xf numFmtId="0" fontId="3" fillId="8" borderId="80" xfId="0" applyFont="1" applyFill="1" applyBorder="1" applyAlignment="1">
      <alignment horizontal="center" vertical="center" wrapText="1"/>
    </xf>
    <xf numFmtId="0" fontId="3" fillId="3" borderId="33" xfId="0" applyFont="1" applyFill="1" applyBorder="1" applyAlignment="1">
      <alignment horizontal="right" vertical="center" wrapText="1"/>
    </xf>
    <xf numFmtId="0" fontId="3" fillId="3" borderId="35" xfId="0" applyFont="1" applyFill="1" applyBorder="1" applyAlignment="1">
      <alignment horizontal="right" vertical="center" wrapText="1"/>
    </xf>
    <xf numFmtId="0" fontId="25" fillId="3" borderId="39" xfId="0" applyFont="1" applyFill="1" applyBorder="1" applyAlignment="1">
      <alignment horizontal="right" vertical="center" wrapText="1"/>
    </xf>
    <xf numFmtId="0" fontId="25" fillId="3" borderId="37" xfId="0" applyFont="1" applyFill="1" applyBorder="1" applyAlignment="1">
      <alignment horizontal="right" vertical="center" wrapText="1"/>
    </xf>
    <xf numFmtId="0" fontId="3" fillId="3" borderId="39" xfId="0" applyFont="1" applyFill="1" applyBorder="1" applyAlignment="1">
      <alignment horizontal="right" vertical="center" wrapText="1"/>
    </xf>
    <xf numFmtId="0" fontId="8" fillId="0" borderId="8" xfId="0" applyFont="1" applyBorder="1" applyAlignment="1">
      <alignment horizontal="left" vertical="center"/>
    </xf>
    <xf numFmtId="0" fontId="25" fillId="0" borderId="53" xfId="0" applyFont="1" applyBorder="1" applyAlignment="1">
      <alignment horizontal="left"/>
    </xf>
    <xf numFmtId="0" fontId="25" fillId="0" borderId="0" xfId="0" applyFont="1" applyAlignment="1">
      <alignment horizontal="left"/>
    </xf>
    <xf numFmtId="0" fontId="8" fillId="0" borderId="33" xfId="0" applyFont="1" applyBorder="1" applyAlignment="1">
      <alignment vertical="center" wrapText="1"/>
    </xf>
    <xf numFmtId="0" fontId="8" fillId="0" borderId="33" xfId="0" applyFont="1" applyBorder="1" applyAlignment="1">
      <alignment vertical="center"/>
    </xf>
    <xf numFmtId="0" fontId="3" fillId="0" borderId="33" xfId="0" applyFont="1" applyBorder="1" applyAlignment="1">
      <alignment vertical="center" wrapText="1"/>
    </xf>
    <xf numFmtId="0" fontId="3" fillId="0" borderId="33" xfId="0" applyFont="1" applyBorder="1" applyAlignment="1">
      <alignment vertical="center"/>
    </xf>
    <xf numFmtId="0" fontId="25" fillId="0" borderId="0" xfId="0" applyFont="1" applyAlignment="1">
      <alignment horizontal="left" wrapText="1"/>
    </xf>
    <xf numFmtId="0" fontId="3" fillId="0" borderId="33" xfId="0" applyFont="1" applyBorder="1" applyAlignment="1">
      <alignment horizontal="center" vertical="center" wrapText="1"/>
    </xf>
    <xf numFmtId="0" fontId="8" fillId="0" borderId="8" xfId="0" applyFont="1" applyBorder="1" applyAlignment="1">
      <alignment horizontal="center" vertical="center" wrapText="1"/>
    </xf>
    <xf numFmtId="0" fontId="3" fillId="0" borderId="8" xfId="0" applyFont="1" applyBorder="1" applyAlignment="1">
      <alignment horizontal="left" vertical="center"/>
    </xf>
    <xf numFmtId="0" fontId="40" fillId="9" borderId="44" xfId="0" applyFont="1" applyFill="1" applyBorder="1" applyAlignment="1">
      <alignment horizontal="center" vertical="center" wrapText="1"/>
    </xf>
    <xf numFmtId="0" fontId="40" fillId="9" borderId="45" xfId="0" applyFont="1" applyFill="1" applyBorder="1" applyAlignment="1">
      <alignment horizontal="center" vertical="center" wrapText="1"/>
    </xf>
    <xf numFmtId="0" fontId="40" fillId="9" borderId="46"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54" xfId="0" applyFont="1" applyBorder="1" applyAlignment="1">
      <alignment horizontal="center" vertical="center" wrapText="1"/>
    </xf>
    <xf numFmtId="0" fontId="28" fillId="0" borderId="53" xfId="0" applyFont="1" applyBorder="1" applyAlignment="1">
      <alignment horizontal="left"/>
    </xf>
    <xf numFmtId="0" fontId="28" fillId="0" borderId="0" xfId="0" applyFont="1" applyAlignment="1">
      <alignment horizontal="left"/>
    </xf>
    <xf numFmtId="0" fontId="3" fillId="0" borderId="0" xfId="0" applyFont="1" applyAlignment="1">
      <alignment horizontal="left" vertical="center"/>
    </xf>
    <xf numFmtId="0" fontId="3" fillId="8" borderId="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33" xfId="0" applyFont="1" applyBorder="1" applyAlignment="1">
      <alignment horizontal="left" vertical="center" wrapText="1"/>
    </xf>
    <xf numFmtId="0" fontId="8" fillId="0" borderId="33" xfId="0" applyFont="1" applyBorder="1" applyAlignment="1">
      <alignment horizontal="left" vertical="center"/>
    </xf>
    <xf numFmtId="0" fontId="40" fillId="9" borderId="44" xfId="0" applyFont="1" applyFill="1" applyBorder="1" applyAlignment="1">
      <alignment horizontal="left" vertical="center" wrapText="1"/>
    </xf>
    <xf numFmtId="0" fontId="40" fillId="9" borderId="45" xfId="0" applyFont="1" applyFill="1" applyBorder="1" applyAlignment="1">
      <alignment horizontal="left" vertical="center" wrapText="1"/>
    </xf>
    <xf numFmtId="0" fontId="3" fillId="0" borderId="33" xfId="0" applyFont="1" applyBorder="1" applyAlignment="1">
      <alignment horizontal="center" vertical="center"/>
    </xf>
    <xf numFmtId="0" fontId="3" fillId="6" borderId="8" xfId="0" applyFont="1" applyFill="1" applyBorder="1" applyAlignment="1">
      <alignment horizontal="center" vertical="center" wrapText="1"/>
    </xf>
    <xf numFmtId="0" fontId="25" fillId="0" borderId="53" xfId="0" applyFont="1" applyBorder="1" applyAlignment="1">
      <alignment horizontal="left" wrapText="1"/>
    </xf>
    <xf numFmtId="0" fontId="43" fillId="0" borderId="0" xfId="0" applyFont="1" applyAlignment="1">
      <alignment horizontal="left" vertical="center" wrapText="1"/>
    </xf>
    <xf numFmtId="0" fontId="3" fillId="0" borderId="50" xfId="0" applyFont="1" applyBorder="1" applyAlignment="1">
      <alignment horizontal="center" vertical="center"/>
    </xf>
    <xf numFmtId="0" fontId="3" fillId="0" borderId="52" xfId="0" applyFont="1" applyBorder="1" applyAlignment="1">
      <alignment horizontal="center" vertical="center"/>
    </xf>
    <xf numFmtId="173" fontId="8" fillId="0" borderId="74" xfId="0" applyNumberFormat="1" applyFont="1" applyBorder="1" applyAlignment="1">
      <alignment horizontal="center" vertical="center"/>
    </xf>
    <xf numFmtId="173" fontId="8" fillId="0" borderId="75" xfId="0" applyNumberFormat="1" applyFont="1" applyBorder="1" applyAlignment="1">
      <alignment horizontal="center" vertical="center"/>
    </xf>
    <xf numFmtId="0" fontId="3" fillId="3" borderId="22" xfId="0" applyFont="1" applyFill="1" applyBorder="1" applyAlignment="1">
      <alignment horizontal="center" vertical="center" wrapText="1"/>
    </xf>
    <xf numFmtId="0" fontId="3" fillId="3" borderId="36" xfId="0" applyFont="1" applyFill="1" applyBorder="1" applyAlignment="1">
      <alignment horizontal="center" vertical="center" wrapText="1"/>
    </xf>
    <xf numFmtId="173" fontId="3" fillId="0" borderId="76" xfId="0" applyNumberFormat="1" applyFont="1" applyBorder="1" applyAlignment="1">
      <alignment horizontal="center" vertical="center"/>
    </xf>
    <xf numFmtId="173" fontId="3" fillId="0" borderId="77" xfId="0" applyNumberFormat="1" applyFont="1" applyBorder="1" applyAlignment="1">
      <alignment horizontal="center" vertical="center"/>
    </xf>
    <xf numFmtId="0" fontId="40" fillId="3" borderId="22" xfId="0" applyFont="1" applyFill="1" applyBorder="1" applyAlignment="1">
      <alignment horizontal="justify" vertical="center" wrapText="1"/>
    </xf>
    <xf numFmtId="0" fontId="40" fillId="3" borderId="24" xfId="0" applyFont="1" applyFill="1" applyBorder="1" applyAlignment="1">
      <alignment horizontal="justify" vertical="center"/>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2" xfId="0" applyFont="1" applyBorder="1" applyAlignment="1">
      <alignment horizontal="center" vertical="center" wrapText="1"/>
    </xf>
    <xf numFmtId="0" fontId="3" fillId="3" borderId="22"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25" fillId="3" borderId="23" xfId="0" applyFont="1" applyFill="1" applyBorder="1" applyAlignment="1">
      <alignment horizontal="center" vertical="center" wrapText="1"/>
    </xf>
    <xf numFmtId="0" fontId="25" fillId="3" borderId="38"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4" fillId="0" borderId="7" xfId="0" applyFont="1" applyBorder="1" applyAlignment="1">
      <alignment horizontal="left" vertical="center" wrapText="1"/>
    </xf>
    <xf numFmtId="0" fontId="33" fillId="0" borderId="35" xfId="0" applyFont="1" applyBorder="1" applyAlignment="1">
      <alignment horizontal="center" vertical="top"/>
    </xf>
    <xf numFmtId="0" fontId="33" fillId="0" borderId="39" xfId="0" applyFont="1" applyBorder="1" applyAlignment="1">
      <alignment horizontal="center" vertical="top"/>
    </xf>
    <xf numFmtId="0" fontId="33" fillId="0" borderId="37" xfId="0" applyFont="1" applyBorder="1" applyAlignment="1">
      <alignment horizontal="center" vertical="top"/>
    </xf>
    <xf numFmtId="0" fontId="38" fillId="0" borderId="0" xfId="1" applyFont="1" applyFill="1" applyBorder="1" applyAlignment="1" applyProtection="1">
      <alignment horizontal="left" vertical="center"/>
    </xf>
    <xf numFmtId="0" fontId="40" fillId="7" borderId="30" xfId="0" applyFont="1" applyFill="1" applyBorder="1" applyAlignment="1">
      <alignment horizontal="left" vertical="center" wrapText="1"/>
    </xf>
    <xf numFmtId="0" fontId="40" fillId="7" borderId="31" xfId="0" applyFont="1" applyFill="1" applyBorder="1" applyAlignment="1">
      <alignment horizontal="left" vertical="center"/>
    </xf>
    <xf numFmtId="0" fontId="40" fillId="7" borderId="32" xfId="0" applyFont="1" applyFill="1" applyBorder="1" applyAlignment="1">
      <alignment horizontal="left" vertical="center"/>
    </xf>
    <xf numFmtId="0" fontId="8" fillId="7" borderId="8" xfId="0" applyFont="1" applyFill="1" applyBorder="1" applyAlignment="1">
      <alignment horizontal="center" vertical="center" wrapText="1"/>
    </xf>
    <xf numFmtId="0" fontId="8" fillId="7" borderId="34" xfId="0" applyFont="1" applyFill="1" applyBorder="1" applyAlignment="1">
      <alignment horizontal="center" vertical="center"/>
    </xf>
    <xf numFmtId="0" fontId="3" fillId="0" borderId="33" xfId="0" applyFont="1" applyBorder="1" applyAlignment="1">
      <alignment horizontal="right" vertical="center" wrapText="1"/>
    </xf>
    <xf numFmtId="0" fontId="3" fillId="0" borderId="8" xfId="0" applyFont="1" applyBorder="1" applyAlignment="1">
      <alignment horizontal="right" vertical="center" wrapText="1"/>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3" fillId="0" borderId="41" xfId="0" applyFont="1" applyBorder="1" applyAlignment="1">
      <alignment horizontal="center" vertical="top"/>
    </xf>
    <xf numFmtId="0" fontId="8" fillId="3" borderId="22" xfId="0" applyFont="1" applyFill="1" applyBorder="1" applyAlignment="1">
      <alignment horizontal="justify" vertical="center" wrapText="1"/>
    </xf>
    <xf numFmtId="0" fontId="8" fillId="3" borderId="24" xfId="0" applyFont="1" applyFill="1" applyBorder="1" applyAlignment="1">
      <alignment horizontal="justify" vertical="center" wrapText="1"/>
    </xf>
    <xf numFmtId="0" fontId="8" fillId="0" borderId="23" xfId="0" applyFont="1" applyBorder="1" applyAlignment="1">
      <alignment horizontal="center" vertical="center" wrapText="1"/>
    </xf>
    <xf numFmtId="0" fontId="41" fillId="3" borderId="24" xfId="0" applyFont="1" applyFill="1" applyBorder="1" applyAlignment="1">
      <alignment horizontal="left" vertical="center" wrapText="1"/>
    </xf>
    <xf numFmtId="0" fontId="41" fillId="3" borderId="42" xfId="0" applyFont="1" applyFill="1" applyBorder="1" applyAlignment="1">
      <alignment horizontal="left" vertical="center" wrapText="1"/>
    </xf>
    <xf numFmtId="0" fontId="45" fillId="0" borderId="35" xfId="0" applyFont="1" applyBorder="1" applyAlignment="1">
      <alignment horizontal="center" vertical="top"/>
    </xf>
    <xf numFmtId="0" fontId="45" fillId="0" borderId="39" xfId="0" applyFont="1" applyBorder="1" applyAlignment="1">
      <alignment horizontal="center" vertical="top"/>
    </xf>
    <xf numFmtId="0" fontId="45" fillId="0" borderId="37" xfId="0" applyFont="1" applyBorder="1" applyAlignment="1">
      <alignment horizontal="center" vertical="top"/>
    </xf>
    <xf numFmtId="0" fontId="3" fillId="3" borderId="2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3" fillId="7" borderId="22" xfId="0" applyFont="1" applyFill="1" applyBorder="1" applyAlignment="1">
      <alignment horizontal="center" vertical="center" wrapText="1"/>
    </xf>
    <xf numFmtId="0" fontId="33" fillId="7" borderId="36" xfId="0" applyFont="1" applyFill="1" applyBorder="1" applyAlignment="1">
      <alignment horizontal="center" vertical="center"/>
    </xf>
    <xf numFmtId="0" fontId="33" fillId="7" borderId="8" xfId="0" applyFont="1" applyFill="1" applyBorder="1" applyAlignment="1">
      <alignment horizontal="center" vertical="center" wrapText="1"/>
    </xf>
    <xf numFmtId="0" fontId="33" fillId="7" borderId="8" xfId="0" applyFont="1" applyFill="1" applyBorder="1" applyAlignment="1">
      <alignment horizontal="center" vertical="center"/>
    </xf>
    <xf numFmtId="0" fontId="3" fillId="3" borderId="0" xfId="0" applyFont="1" applyFill="1" applyAlignment="1">
      <alignment horizontal="left" vertical="center" wrapText="1"/>
    </xf>
    <xf numFmtId="0" fontId="3" fillId="0" borderId="24" xfId="0" applyFont="1" applyBorder="1" applyAlignment="1">
      <alignment horizontal="center" vertical="center"/>
    </xf>
    <xf numFmtId="0" fontId="41" fillId="3" borderId="23"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64" xfId="0" applyFont="1" applyFill="1" applyBorder="1" applyAlignment="1">
      <alignment horizontal="left" vertical="center" wrapText="1"/>
    </xf>
    <xf numFmtId="0" fontId="38" fillId="0" borderId="0" xfId="1" applyFont="1" applyFill="1" applyBorder="1" applyAlignment="1" applyProtection="1">
      <alignment horizontal="left"/>
    </xf>
    <xf numFmtId="0" fontId="3" fillId="7" borderId="8" xfId="0" applyFont="1" applyFill="1" applyBorder="1" applyAlignment="1">
      <alignment horizontal="center" vertical="center" wrapText="1"/>
    </xf>
    <xf numFmtId="0" fontId="3" fillId="7" borderId="8" xfId="0" applyFont="1" applyFill="1" applyBorder="1" applyAlignment="1">
      <alignment horizontal="center" vertical="center"/>
    </xf>
    <xf numFmtId="0" fontId="45" fillId="0" borderId="55" xfId="0" applyFont="1" applyBorder="1" applyAlignment="1">
      <alignment horizontal="center" vertical="top"/>
    </xf>
    <xf numFmtId="0" fontId="45" fillId="0" borderId="61" xfId="0" applyFont="1" applyBorder="1" applyAlignment="1">
      <alignment horizontal="center" vertical="top"/>
    </xf>
    <xf numFmtId="0" fontId="45" fillId="0" borderId="58" xfId="0" applyFont="1" applyBorder="1" applyAlignment="1">
      <alignment horizontal="center" vertical="top"/>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9" xfId="0" applyFont="1" applyBorder="1" applyAlignment="1">
      <alignment horizontal="center" vertical="center" wrapText="1"/>
    </xf>
    <xf numFmtId="0" fontId="3" fillId="6" borderId="91" xfId="0" applyFont="1" applyFill="1" applyBorder="1" applyAlignment="1">
      <alignment horizontal="center" vertical="center" wrapText="1"/>
    </xf>
    <xf numFmtId="0" fontId="3" fillId="6" borderId="92"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10" borderId="47" xfId="0" applyFont="1" applyFill="1" applyBorder="1" applyAlignment="1">
      <alignment horizontal="center" vertical="center"/>
    </xf>
    <xf numFmtId="0" fontId="3" fillId="10" borderId="49" xfId="0" applyFont="1" applyFill="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2" fontId="3" fillId="6" borderId="33" xfId="0" applyNumberFormat="1" applyFont="1" applyFill="1" applyBorder="1" applyAlignment="1">
      <alignment horizontal="center" vertical="center" wrapText="1"/>
    </xf>
    <xf numFmtId="2" fontId="3" fillId="6" borderId="34" xfId="0" applyNumberFormat="1" applyFont="1" applyFill="1" applyBorder="1" applyAlignment="1">
      <alignment horizontal="center" vertical="center" wrapText="1"/>
    </xf>
    <xf numFmtId="2" fontId="3" fillId="10" borderId="33" xfId="0" applyNumberFormat="1" applyFont="1" applyFill="1" applyBorder="1" applyAlignment="1">
      <alignment horizontal="center" vertical="center"/>
    </xf>
    <xf numFmtId="2" fontId="3" fillId="10" borderId="34" xfId="0" applyNumberFormat="1" applyFont="1" applyFill="1" applyBorder="1" applyAlignment="1">
      <alignment horizontal="center" vertical="center"/>
    </xf>
    <xf numFmtId="164" fontId="8" fillId="6" borderId="33" xfId="0" applyNumberFormat="1" applyFont="1" applyFill="1" applyBorder="1" applyAlignment="1">
      <alignment horizontal="center" vertical="center"/>
    </xf>
    <xf numFmtId="164" fontId="8" fillId="6" borderId="34" xfId="0" applyNumberFormat="1" applyFont="1" applyFill="1" applyBorder="1" applyAlignment="1">
      <alignment horizontal="center" vertical="center"/>
    </xf>
    <xf numFmtId="164" fontId="8" fillId="6" borderId="68" xfId="0" applyNumberFormat="1" applyFont="1" applyFill="1" applyBorder="1" applyAlignment="1">
      <alignment horizontal="center" vertical="center"/>
    </xf>
    <xf numFmtId="164" fontId="8" fillId="6" borderId="84" xfId="0" applyNumberFormat="1" applyFont="1" applyFill="1" applyBorder="1" applyAlignment="1">
      <alignment horizontal="center" vertical="center"/>
    </xf>
    <xf numFmtId="0" fontId="3" fillId="0" borderId="0" xfId="0" applyFont="1" applyAlignment="1">
      <alignment horizontal="left"/>
    </xf>
    <xf numFmtId="0" fontId="48" fillId="9" borderId="8" xfId="0" applyFont="1" applyFill="1" applyBorder="1" applyAlignment="1">
      <alignment horizontal="center" vertical="center" wrapText="1"/>
    </xf>
    <xf numFmtId="0" fontId="48" fillId="9" borderId="34" xfId="0" applyFont="1" applyFill="1" applyBorder="1" applyAlignment="1">
      <alignment horizontal="center" vertical="center"/>
    </xf>
    <xf numFmtId="0" fontId="41" fillId="3" borderId="93" xfId="0" applyFont="1" applyFill="1" applyBorder="1" applyAlignment="1">
      <alignment horizontal="left" vertical="center" wrapText="1"/>
    </xf>
    <xf numFmtId="0" fontId="41" fillId="3" borderId="94" xfId="0" applyFont="1" applyFill="1" applyBorder="1" applyAlignment="1">
      <alignment horizontal="left" vertical="center" wrapText="1"/>
    </xf>
    <xf numFmtId="0" fontId="25" fillId="3" borderId="15" xfId="0" applyFont="1" applyFill="1" applyBorder="1" applyAlignment="1">
      <alignment horizontal="left" vertical="top" wrapText="1"/>
    </xf>
    <xf numFmtId="0" fontId="25" fillId="3" borderId="18" xfId="0" applyFont="1" applyFill="1" applyBorder="1" applyAlignment="1">
      <alignment horizontal="left" vertical="top"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8" borderId="72" xfId="0" applyFont="1" applyFill="1" applyBorder="1" applyAlignment="1">
      <alignment horizontal="center" vertical="center" wrapText="1"/>
    </xf>
    <xf numFmtId="0" fontId="3" fillId="8" borderId="73" xfId="0" applyFont="1" applyFill="1" applyBorder="1" applyAlignment="1">
      <alignment horizontal="center" vertical="center" wrapText="1"/>
    </xf>
    <xf numFmtId="0" fontId="40" fillId="3" borderId="3" xfId="0" applyFont="1" applyFill="1" applyBorder="1" applyAlignment="1">
      <alignment horizontal="left" vertical="center" wrapText="1"/>
    </xf>
    <xf numFmtId="0" fontId="40" fillId="3" borderId="2" xfId="0" applyFont="1" applyFill="1" applyBorder="1" applyAlignment="1">
      <alignment horizontal="left" vertical="center" wrapText="1"/>
    </xf>
    <xf numFmtId="0" fontId="3" fillId="6" borderId="70" xfId="0" applyFont="1" applyFill="1" applyBorder="1" applyAlignment="1">
      <alignment horizontal="center" vertical="center" wrapText="1"/>
    </xf>
    <xf numFmtId="0" fontId="3" fillId="6" borderId="71" xfId="0" applyFont="1" applyFill="1" applyBorder="1" applyAlignment="1">
      <alignment horizontal="center" vertical="center" wrapText="1"/>
    </xf>
    <xf numFmtId="0" fontId="8" fillId="3" borderId="28"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41" fillId="3" borderId="3" xfId="0" applyFont="1" applyFill="1" applyBorder="1" applyAlignment="1">
      <alignment horizontal="left" vertical="top" wrapText="1"/>
    </xf>
    <xf numFmtId="0" fontId="41" fillId="3" borderId="2" xfId="0" applyFont="1" applyFill="1" applyBorder="1" applyAlignment="1">
      <alignment horizontal="left" vertical="top" wrapText="1"/>
    </xf>
    <xf numFmtId="0" fontId="3" fillId="3" borderId="28"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8" fillId="3" borderId="22"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3" xfId="0" applyFont="1" applyFill="1" applyBorder="1" applyAlignment="1">
      <alignment horizontal="center" vertical="center"/>
    </xf>
    <xf numFmtId="0" fontId="40" fillId="3" borderId="3" xfId="0" applyFont="1" applyFill="1" applyBorder="1" applyAlignment="1">
      <alignment horizontal="left" vertical="top" wrapText="1"/>
    </xf>
    <xf numFmtId="0" fontId="40" fillId="3" borderId="2" xfId="0" applyFont="1" applyFill="1" applyBorder="1" applyAlignment="1">
      <alignment horizontal="left" vertical="top" wrapText="1"/>
    </xf>
    <xf numFmtId="0" fontId="25" fillId="3" borderId="16"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6" borderId="87" xfId="0" applyFont="1" applyFill="1" applyBorder="1" applyAlignment="1">
      <alignment horizontal="center" vertical="center" wrapText="1"/>
    </xf>
    <xf numFmtId="0" fontId="3" fillId="6" borderId="8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5" xfId="0" applyFont="1" applyFill="1" applyBorder="1" applyAlignment="1">
      <alignment horizontal="center" vertical="center" wrapText="1"/>
    </xf>
    <xf numFmtId="0" fontId="40" fillId="7" borderId="87" xfId="0" applyFont="1" applyFill="1" applyBorder="1" applyAlignment="1">
      <alignment horizontal="center" wrapText="1"/>
    </xf>
    <xf numFmtId="0" fontId="40" fillId="7" borderId="88" xfId="0" applyFont="1" applyFill="1" applyBorder="1" applyAlignment="1">
      <alignment horizontal="center" wrapText="1"/>
    </xf>
    <xf numFmtId="0" fontId="40" fillId="7" borderId="89" xfId="0" applyFont="1" applyFill="1" applyBorder="1" applyAlignment="1">
      <alignment horizontal="center" wrapText="1"/>
    </xf>
    <xf numFmtId="0" fontId="3" fillId="7" borderId="18" xfId="0" applyFont="1" applyFill="1" applyBorder="1" applyAlignment="1">
      <alignment horizontal="center" vertical="center" wrapText="1"/>
    </xf>
  </cellXfs>
  <cellStyles count="12">
    <cellStyle name="Hipersaitas" xfId="1" builtinId="8"/>
    <cellStyle name="Įprastas" xfId="0" builtinId="0"/>
    <cellStyle name="Įprastas 2" xfId="6" xr:uid="{AF05CF2D-D618-4026-9BD3-167FFA3308E9}"/>
    <cellStyle name="Įprastas 3" xfId="10" xr:uid="{1E3A0D5A-4CFA-4BC1-BFAC-8CEAE8013A77}"/>
    <cellStyle name="Įprastas 5" xfId="9" xr:uid="{24352BD7-FF1F-4BCB-A618-16C73D39FFF0}"/>
    <cellStyle name="Įprastas 6" xfId="8" xr:uid="{5A0FAE1B-0450-4951-8345-53579E1BD0FE}"/>
    <cellStyle name="Įprastas 8 2" xfId="7" xr:uid="{8C087F1F-A6E6-49CC-8D19-381F6EC162AB}"/>
    <cellStyle name="Normal 18" xfId="3" xr:uid="{1A4A2765-3B13-476A-B988-826493B987E5}"/>
    <cellStyle name="Normal 4" xfId="4" xr:uid="{C366F9C7-F114-4B72-8C90-9D319E9CA060}"/>
    <cellStyle name="Normal 5" xfId="5" xr:uid="{2DD1DBB4-8FD1-4DD8-8AD9-21E3254968C6}"/>
    <cellStyle name="Normal 6" xfId="2" xr:uid="{39C61853-18A8-4376-BEEE-408C39E94774}"/>
    <cellStyle name="Normal_____3lentelė - 2,3,4 lapai_3_variantas" xfId="11" xr:uid="{257EF036-731E-4E16-9C4E-3C5C3A13DF22}"/>
  </cellStyles>
  <dxfs count="0"/>
  <tableStyles count="0" defaultTableStyle="TableStyleMedium2" defaultPivotStyle="PivotStyleLight16"/>
  <colors>
    <mruColors>
      <color rgb="FFB5DDF0"/>
      <color rgb="FFC9D6D9"/>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0</xdr:row>
      <xdr:rowOff>144780</xdr:rowOff>
    </xdr:from>
    <xdr:to>
      <xdr:col>3</xdr:col>
      <xdr:colOff>2228806</xdr:colOff>
      <xdr:row>0</xdr:row>
      <xdr:rowOff>1203960</xdr:rowOff>
    </xdr:to>
    <xdr:pic>
      <xdr:nvPicPr>
        <xdr:cNvPr id="4" name="Paveikslėlis 3"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52EB93B5-16DA-401D-A594-4AE8351166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14478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23</xdr:row>
      <xdr:rowOff>127014</xdr:rowOff>
    </xdr:from>
    <xdr:to>
      <xdr:col>4</xdr:col>
      <xdr:colOff>599327</xdr:colOff>
      <xdr:row>24</xdr:row>
      <xdr:rowOff>185684</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31</xdr:row>
      <xdr:rowOff>279621</xdr:rowOff>
    </xdr:from>
    <xdr:to>
      <xdr:col>4</xdr:col>
      <xdr:colOff>1269615</xdr:colOff>
      <xdr:row>31</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〖0,5⋅Y〗_np10t</a:t>
              </a:r>
              <a:endParaRPr lang="lt-LT" sz="800" i="0"/>
            </a:p>
          </xdr:txBody>
        </xdr:sp>
      </mc:Fallback>
    </mc:AlternateContent>
    <xdr:clientData/>
  </xdr:twoCellAnchor>
  <xdr:twoCellAnchor editAs="oneCell">
    <xdr:from>
      <xdr:col>3</xdr:col>
      <xdr:colOff>193812</xdr:colOff>
      <xdr:row>33</xdr:row>
      <xdr:rowOff>94256</xdr:rowOff>
    </xdr:from>
    <xdr:to>
      <xdr:col>4</xdr:col>
      <xdr:colOff>1393030</xdr:colOff>
      <xdr:row>33</xdr:row>
      <xdr:rowOff>750094</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ad>
                          <m:radPr>
                            <m:ctrlPr>
                              <a:rPr lang="en-US" sz="1100" b="0" i="1" baseline="0">
                                <a:effectLst/>
                                <a:latin typeface="Cambria Math" panose="02040503050406030204" pitchFamily="18" charset="0"/>
                                <a:ea typeface="+mn-ea"/>
                                <a:cs typeface="+mn-cs"/>
                              </a:rPr>
                            </m:ctrlPr>
                          </m:radPr>
                          <m:deg>
                            <m:r>
                              <m:rPr>
                                <m:brk m:alnAt="7"/>
                              </m:rPr>
                              <a:rPr lang="en-US" sz="1100" b="0" i="1" baseline="0">
                                <a:effectLst/>
                                <a:latin typeface="Cambria Math" panose="02040503050406030204" pitchFamily="18" charset="0"/>
                                <a:ea typeface="+mn-ea"/>
                                <a:cs typeface="+mn-cs"/>
                              </a:rPr>
                              <m:t>1</m:t>
                            </m:r>
                            <m:r>
                              <a:rPr lang="en-US" sz="1100" b="0" i="1" baseline="0">
                                <a:effectLst/>
                                <a:latin typeface="Cambria Math" panose="02040503050406030204" pitchFamily="18" charset="0"/>
                                <a:ea typeface="+mn-ea"/>
                                <a:cs typeface="+mn-cs"/>
                              </a:rPr>
                              <m:t>0</m:t>
                            </m:r>
                          </m:deg>
                          <m:e>
                            <m:f>
                              <m:fPr>
                                <m:ctrlPr>
                                  <a:rPr lang="en-US" sz="1100" b="0" i="1" baseline="0">
                                    <a:effectLst/>
                                    <a:latin typeface="Cambria Math" panose="02040503050406030204" pitchFamily="18" charset="0"/>
                                    <a:ea typeface="+mn-ea"/>
                                    <a:cs typeface="+mn-cs"/>
                                  </a:rPr>
                                </m:ctrlPr>
                              </m:fPr>
                              <m:num>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d>
                                  <m:dPr>
                                    <m:ctrlPr>
                                      <a:rPr lang="en-US" sz="1100" b="0" i="1" baseline="0">
                                        <a:effectLst/>
                                        <a:latin typeface="Cambria Math" panose="02040503050406030204" pitchFamily="18" charset="0"/>
                                        <a:ea typeface="+mn-ea"/>
                                        <a:cs typeface="+mn-cs"/>
                                      </a:rPr>
                                    </m:ctrlPr>
                                  </m:dPr>
                                  <m:e>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+2</m:t>
                                    </m:r>
                                  </m:e>
                                </m:d>
                              </m:num>
                              <m:den>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r>
                                  <a:rPr lang="en-US" sz="1100" b="0" i="1" baseline="0">
                                    <a:effectLst/>
                                    <a:latin typeface="Cambria Math" panose="02040503050406030204" pitchFamily="18" charset="0"/>
                                    <a:ea typeface="+mn-ea"/>
                                    <a:cs typeface="+mn-cs"/>
                                  </a:rPr>
                                  <m:t>(</m:t>
                                </m:r>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−8)</m:t>
                                </m:r>
                              </m:den>
                            </m:f>
                          </m:e>
                        </m:rad>
                        <m:sSub>
                          <m:sSubPr>
                            <m:ctrlPr>
                              <a:rPr lang="en-US" sz="1100" b="0" i="1" baseline="0">
                                <a:effectLst/>
                                <a:latin typeface="Cambria Math" panose="02040503050406030204" pitchFamily="18" charset="0"/>
                                <a:ea typeface="+mn-ea"/>
                                <a:cs typeface="+mn-cs"/>
                              </a:rPr>
                            </m:ctrlPr>
                          </m:sSubPr>
                          <m:e>
                            <m:r>
                              <a:rPr lang="en-US" sz="1100" b="0" i="1" baseline="0">
                                <a:effectLst/>
                                <a:latin typeface="Cambria Math" panose="02040503050406030204" pitchFamily="18" charset="0"/>
                                <a:ea typeface="+mn-ea"/>
                                <a:cs typeface="+mn-cs"/>
                              </a:rPr>
                              <m:t>𝑑</m:t>
                            </m:r>
                          </m:e>
                          <m:sub>
                            <m:r>
                              <a:rPr lang="en-US" sz="1100" b="0" i="1" baseline="0">
                                <a:effectLst/>
                                <a:latin typeface="Cambria Math" panose="02040503050406030204" pitchFamily="18" charset="0"/>
                                <a:ea typeface="+mn-ea"/>
                                <a:cs typeface="+mn-cs"/>
                              </a:rPr>
                              <m:t>𝑡</m:t>
                            </m:r>
                          </m:sub>
                        </m:sSub>
                        <m:r>
                          <a:rPr lang="en-US" sz="1100" b="0" i="1" baseline="0">
                            <a:effectLst/>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∗100</m:t>
                    </m:r>
                  </m:oMath>
                </m:oMathPara>
              </a14:m>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r>
                <a:rPr lang="en-US" sz="1100" b="0" i="0" baseline="0">
                  <a:effectLst/>
                  <a:latin typeface="+mn-lt"/>
                  <a:ea typeface="+mn-ea"/>
                  <a:cs typeface="+mn-cs"/>
                </a:rPr>
                <a:t>10&amp;(Y^∗ (t+2))/(Y^∗ (t−8)))𝑑_𝑡−</a:t>
              </a:r>
              <a:r>
                <a:rPr lang="en-US" sz="1100" b="0" i="0" baseline="0">
                  <a:effectLst/>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)∗100</a:t>
              </a:r>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27</xdr:row>
      <xdr:rowOff>200504</xdr:rowOff>
    </xdr:from>
    <xdr:to>
      <xdr:col>4</xdr:col>
      <xdr:colOff>890124</xdr:colOff>
      <xdr:row>28</xdr:row>
      <xdr:rowOff>194817</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13</xdr:row>
      <xdr:rowOff>78342</xdr:rowOff>
    </xdr:from>
    <xdr:to>
      <xdr:col>4</xdr:col>
      <xdr:colOff>1025270</xdr:colOff>
      <xdr:row>15</xdr:row>
      <xdr:rowOff>217420</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7</xdr:row>
      <xdr:rowOff>177586</xdr:rowOff>
    </xdr:from>
    <xdr:to>
      <xdr:col>4</xdr:col>
      <xdr:colOff>1194660</xdr:colOff>
      <xdr:row>9</xdr:row>
      <xdr:rowOff>354794</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580496</xdr:colOff>
      <xdr:row>31</xdr:row>
      <xdr:rowOff>738132</xdr:rowOff>
    </xdr:from>
    <xdr:to>
      <xdr:col>4</xdr:col>
      <xdr:colOff>852569</xdr:colOff>
      <xdr:row>33</xdr:row>
      <xdr:rowOff>10433</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theme/theme1.xml><?xml version="1.0" encoding="utf-8"?>
<a:theme xmlns:a="http://schemas.openxmlformats.org/drawingml/2006/main" name="„Office“ tema">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theme="7" tint="-0.499984740745262"/>
  </sheetPr>
  <dimension ref="B1:H36"/>
  <sheetViews>
    <sheetView showGridLines="0" showRowColHeaders="0" tabSelected="1" workbookViewId="0"/>
  </sheetViews>
  <sheetFormatPr defaultColWidth="10" defaultRowHeight="13.6"/>
  <cols>
    <col min="1" max="1" width="0.5" style="45" customWidth="1"/>
    <col min="2" max="2" width="3.5" style="45" customWidth="1"/>
    <col min="3" max="3" width="4.5" style="9" customWidth="1"/>
    <col min="4" max="4" width="99.625" style="9" customWidth="1"/>
    <col min="5" max="5" width="3.625" style="45" customWidth="1"/>
    <col min="6" max="6" width="10" style="45"/>
    <col min="7" max="7" width="10.5" style="45" customWidth="1"/>
    <col min="8" max="16384" width="10" style="45"/>
  </cols>
  <sheetData>
    <row r="1" spans="2:7" ht="109.55" customHeight="1" thickBot="1">
      <c r="B1" s="45" t="s">
        <v>340</v>
      </c>
      <c r="C1" s="350"/>
      <c r="D1" s="351"/>
      <c r="E1" s="352"/>
    </row>
    <row r="2" spans="2:7">
      <c r="C2" s="57"/>
      <c r="D2" s="58"/>
      <c r="E2" s="59"/>
    </row>
    <row r="3" spans="2:7" ht="35.35" customHeight="1">
      <c r="C3" s="353" t="s">
        <v>0</v>
      </c>
      <c r="D3" s="354"/>
      <c r="E3" s="60"/>
    </row>
    <row r="4" spans="2:7">
      <c r="C4" s="61"/>
      <c r="D4" s="62"/>
      <c r="E4" s="63"/>
    </row>
    <row r="5" spans="2:7" ht="16.149999999999999" customHeight="1">
      <c r="C5" s="355" t="s">
        <v>339</v>
      </c>
      <c r="D5" s="356"/>
      <c r="E5" s="63"/>
      <c r="G5" s="51"/>
    </row>
    <row r="6" spans="2:7">
      <c r="C6" s="61"/>
      <c r="D6" s="62"/>
      <c r="E6" s="63"/>
    </row>
    <row r="7" spans="2:7" ht="18.350000000000001">
      <c r="C7" s="357" t="s">
        <v>1</v>
      </c>
      <c r="D7" s="358"/>
      <c r="E7" s="64"/>
    </row>
    <row r="8" spans="2:7">
      <c r="C8" s="61"/>
      <c r="D8" s="62"/>
      <c r="E8" s="63"/>
    </row>
    <row r="9" spans="2:7" ht="171.7" customHeight="1">
      <c r="C9" s="61"/>
      <c r="D9" s="290" t="s">
        <v>309</v>
      </c>
      <c r="E9" s="65"/>
    </row>
    <row r="10" spans="2:7">
      <c r="C10" s="61"/>
      <c r="D10" s="62"/>
      <c r="E10" s="63"/>
    </row>
    <row r="11" spans="2:7" ht="18.350000000000001">
      <c r="C11" s="357" t="s">
        <v>253</v>
      </c>
      <c r="D11" s="358"/>
      <c r="E11" s="64"/>
    </row>
    <row r="12" spans="2:7">
      <c r="C12" s="61"/>
      <c r="D12" s="62"/>
      <c r="E12" s="63"/>
    </row>
    <row r="13" spans="2:7">
      <c r="C13" s="61"/>
      <c r="D13" s="66" t="s">
        <v>2</v>
      </c>
      <c r="E13" s="63"/>
    </row>
    <row r="14" spans="2:7">
      <c r="C14" s="61"/>
      <c r="D14" s="62"/>
      <c r="E14" s="63"/>
    </row>
    <row r="15" spans="2:7" ht="18.350000000000001">
      <c r="C15" s="357" t="s">
        <v>3</v>
      </c>
      <c r="D15" s="358"/>
      <c r="E15" s="64"/>
    </row>
    <row r="16" spans="2:7">
      <c r="C16" s="61"/>
      <c r="D16" s="62"/>
      <c r="E16" s="63"/>
    </row>
    <row r="17" spans="3:8">
      <c r="C17" s="61"/>
      <c r="D17" s="66" t="s">
        <v>4</v>
      </c>
      <c r="E17" s="63"/>
    </row>
    <row r="18" spans="3:8">
      <c r="C18" s="61"/>
      <c r="D18" s="66" t="s">
        <v>5</v>
      </c>
      <c r="E18" s="63"/>
    </row>
    <row r="19" spans="3:8">
      <c r="C19" s="61"/>
      <c r="D19" s="62"/>
      <c r="E19" s="63"/>
    </row>
    <row r="20" spans="3:8" ht="18.350000000000001">
      <c r="C20" s="357" t="s">
        <v>6</v>
      </c>
      <c r="D20" s="358"/>
      <c r="E20" s="64"/>
    </row>
    <row r="21" spans="3:8">
      <c r="C21" s="61"/>
      <c r="D21" s="62"/>
      <c r="E21" s="63"/>
    </row>
    <row r="22" spans="3:8">
      <c r="C22" s="61"/>
      <c r="D22" s="66" t="s">
        <v>7</v>
      </c>
      <c r="E22" s="63"/>
      <c r="H22" s="45" t="s">
        <v>308</v>
      </c>
    </row>
    <row r="23" spans="3:8">
      <c r="C23" s="61"/>
      <c r="D23" s="66" t="s">
        <v>8</v>
      </c>
      <c r="E23" s="63"/>
    </row>
    <row r="24" spans="3:8">
      <c r="C24" s="61"/>
      <c r="D24" s="66" t="s">
        <v>9</v>
      </c>
      <c r="E24" s="63"/>
    </row>
    <row r="25" spans="3:8">
      <c r="C25" s="61"/>
      <c r="D25" s="66"/>
      <c r="E25" s="63"/>
    </row>
    <row r="26" spans="3:8" ht="18.350000000000001">
      <c r="C26" s="357" t="s">
        <v>302</v>
      </c>
      <c r="D26" s="358"/>
      <c r="E26" s="64"/>
    </row>
    <row r="27" spans="3:8" ht="11.4" customHeight="1">
      <c r="C27" s="283"/>
      <c r="D27" s="284"/>
      <c r="E27" s="285"/>
    </row>
    <row r="28" spans="3:8">
      <c r="C28" s="61"/>
      <c r="D28" s="286" t="s">
        <v>303</v>
      </c>
      <c r="E28" s="63"/>
    </row>
    <row r="29" spans="3:8">
      <c r="C29" s="61"/>
      <c r="D29" s="62"/>
      <c r="E29" s="63"/>
    </row>
    <row r="30" spans="3:8" ht="18.350000000000001">
      <c r="C30" s="357" t="s">
        <v>10</v>
      </c>
      <c r="D30" s="358"/>
      <c r="E30" s="64"/>
    </row>
    <row r="31" spans="3:8">
      <c r="C31" s="61"/>
      <c r="D31" s="62"/>
      <c r="E31" s="63"/>
    </row>
    <row r="32" spans="3:8">
      <c r="C32" s="61" t="s">
        <v>11</v>
      </c>
      <c r="D32" s="67" t="s">
        <v>12</v>
      </c>
      <c r="E32" s="63"/>
    </row>
    <row r="33" spans="3:5">
      <c r="C33" s="68" t="s">
        <v>13</v>
      </c>
      <c r="D33" s="69" t="s">
        <v>14</v>
      </c>
      <c r="E33" s="63"/>
    </row>
    <row r="34" spans="3:5">
      <c r="C34" s="61" t="s">
        <v>15</v>
      </c>
      <c r="D34" s="67" t="s">
        <v>16</v>
      </c>
      <c r="E34" s="63"/>
    </row>
    <row r="35" spans="3:5">
      <c r="C35" s="68" t="s">
        <v>17</v>
      </c>
      <c r="D35" s="69" t="s">
        <v>18</v>
      </c>
      <c r="E35" s="63"/>
    </row>
    <row r="36" spans="3:5" ht="9.6999999999999993" customHeight="1" thickBot="1">
      <c r="C36" s="70"/>
      <c r="D36" s="71"/>
      <c r="E36" s="72"/>
    </row>
  </sheetData>
  <mergeCells count="9">
    <mergeCell ref="C1:E1"/>
    <mergeCell ref="C3:D3"/>
    <mergeCell ref="C5:D5"/>
    <mergeCell ref="C7:D7"/>
    <mergeCell ref="C30:D30"/>
    <mergeCell ref="C11:D11"/>
    <mergeCell ref="C15:D15"/>
    <mergeCell ref="C20:D20"/>
    <mergeCell ref="C26:D26"/>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32" r:id="rId1" display="http://www3.lrs.lt/pls/inter3/dokpaieska.showdoc_l?p_id=487268&amp;p_tr2=2" xr:uid="{DDC9A2C8-E1C0-4CF4-BC74-7FF78E256ED8}"/>
    <hyperlink ref="D34" r:id="rId2" display="Lietuvos Respublikos fiskalinės drausmės įstatymas" xr:uid="{F4FFA9C7-1444-4704-90F5-2ECFABD928E1}"/>
    <hyperlink ref="D35" r:id="rId3" xr:uid="{3C5B1BA1-E78A-448A-B1EF-3C53FDDD686B}"/>
    <hyperlink ref="D33" r:id="rId4" xr:uid="{AB0085CB-F5E8-4B40-995B-4E4EFCC9A3FD}"/>
    <hyperlink ref="D28" location="'7. History'!A1" display="7. Istorinis taisyklių laikymasis / Historical adherence to fiscal rules" xr:uid="{B7035896-7775-4191-A1D3-81E3D9E3D154}"/>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theme="7"/>
  </sheetPr>
  <dimension ref="A1:E33"/>
  <sheetViews>
    <sheetView showGridLines="0" showRowColHeaders="0" zoomScaleNormal="100" workbookViewId="0"/>
  </sheetViews>
  <sheetFormatPr defaultColWidth="10" defaultRowHeight="13.6"/>
  <cols>
    <col min="1" max="1" width="4.375" style="1" customWidth="1"/>
    <col min="2" max="2" width="59.125" style="5" customWidth="1"/>
    <col min="3" max="4" width="19.5" style="5" customWidth="1"/>
    <col min="5" max="5" width="9.5" style="1" customWidth="1"/>
    <col min="6" max="6" width="51.625" style="1" customWidth="1"/>
    <col min="7" max="16384" width="10" style="1"/>
  </cols>
  <sheetData>
    <row r="1" spans="1:4">
      <c r="B1" s="73" t="s">
        <v>19</v>
      </c>
      <c r="C1" s="3"/>
      <c r="D1" s="3"/>
    </row>
    <row r="2" spans="1:4" ht="14.3" thickBot="1">
      <c r="A2" s="4" t="s">
        <v>20</v>
      </c>
    </row>
    <row r="3" spans="1:4" ht="35.35" customHeight="1" thickTop="1" thickBot="1">
      <c r="B3" s="364" t="s">
        <v>338</v>
      </c>
      <c r="C3" s="365"/>
      <c r="D3" s="366"/>
    </row>
    <row r="4" spans="1:4" ht="17.350000000000001" customHeight="1" thickBot="1">
      <c r="B4" s="180" t="s">
        <v>21</v>
      </c>
      <c r="C4" s="370"/>
      <c r="D4" s="371"/>
    </row>
    <row r="5" spans="1:4" ht="32.950000000000003" customHeight="1" thickBot="1">
      <c r="B5" s="181" t="s">
        <v>22</v>
      </c>
      <c r="C5" s="103" t="s">
        <v>23</v>
      </c>
      <c r="D5" s="110" t="s">
        <v>24</v>
      </c>
    </row>
    <row r="6" spans="1:4" ht="17.350000000000001" customHeight="1">
      <c r="B6" s="182" t="s">
        <v>28</v>
      </c>
      <c r="C6" s="374" t="str">
        <f>'4. SurplusGG'!E6</f>
        <v>Ne</v>
      </c>
      <c r="D6" s="375"/>
    </row>
    <row r="7" spans="1:4" ht="17.350000000000001" customHeight="1" thickBot="1">
      <c r="B7" s="183" t="s">
        <v>29</v>
      </c>
      <c r="C7" s="376" t="str">
        <f>'4. SurplusGG'!E7</f>
        <v>Ne</v>
      </c>
      <c r="D7" s="377"/>
    </row>
    <row r="8" spans="1:4" ht="17.350000000000001" customHeight="1" thickBot="1">
      <c r="B8" s="367" t="s">
        <v>25</v>
      </c>
      <c r="C8" s="368"/>
      <c r="D8" s="369"/>
    </row>
    <row r="9" spans="1:4" ht="17.350000000000001" customHeight="1" thickBot="1">
      <c r="B9" s="362" t="s">
        <v>26</v>
      </c>
      <c r="C9" s="104" t="str">
        <f>'4. SurplusGG'!E20</f>
        <v>Ne</v>
      </c>
      <c r="D9" s="108" t="str">
        <f>'4. SurplusGG'!F20</f>
        <v>Ne</v>
      </c>
    </row>
    <row r="10" spans="1:4" ht="53.35" customHeight="1">
      <c r="B10" s="363"/>
      <c r="C10" s="106" t="str">
        <f>'4. SurplusGG'!E21</f>
        <v>Netenkinama nei viena iš sąlygų</v>
      </c>
      <c r="D10" s="107" t="str">
        <f>'4. SurplusGG'!F21</f>
        <v>Netenkinama nei viena iš sąlygų</v>
      </c>
    </row>
    <row r="11" spans="1:4" ht="15.8" customHeight="1" thickBot="1">
      <c r="B11" s="372" t="s">
        <v>27</v>
      </c>
      <c r="C11" s="149" t="str">
        <f>'4. SurplusGG'!E22</f>
        <v>False</v>
      </c>
      <c r="D11" s="179" t="str">
        <f>'4. SurplusGG'!F22</f>
        <v>False</v>
      </c>
    </row>
    <row r="12" spans="1:4" ht="32.950000000000003" customHeight="1" thickBot="1">
      <c r="B12" s="373"/>
      <c r="C12" s="105" t="str">
        <f>'4. SurplusGG'!E23</f>
        <v>None of the conditions is valid</v>
      </c>
      <c r="D12" s="109" t="str">
        <f>'4. SurplusGG'!F23</f>
        <v>None of the conditions is valid</v>
      </c>
    </row>
    <row r="13" spans="1:4" ht="21.1" customHeight="1" thickBot="1">
      <c r="B13" s="359" t="s">
        <v>30</v>
      </c>
      <c r="C13" s="360"/>
      <c r="D13" s="361"/>
    </row>
    <row r="14" spans="1:4" ht="18" customHeight="1" thickBot="1">
      <c r="B14" s="382" t="s">
        <v>31</v>
      </c>
      <c r="C14" s="104" t="str">
        <f>'5. GGexpenditure'!F23</f>
        <v>Taip</v>
      </c>
      <c r="D14" s="108" t="str">
        <f>'5. GGexpenditure'!G23</f>
        <v>Taip</v>
      </c>
    </row>
    <row r="15" spans="1:4" ht="48.75" customHeight="1">
      <c r="B15" s="383"/>
      <c r="C15" s="106" t="str">
        <f>'5. GGexpenditure'!F24</f>
        <v>Susidaro A5 aplinkybė</v>
      </c>
      <c r="D15" s="107" t="str">
        <f>'5. GGexpenditure'!G24</f>
        <v>Susidaro A5 aplinkybė</v>
      </c>
    </row>
    <row r="16" spans="1:4" ht="18" customHeight="1">
      <c r="B16" s="384" t="s">
        <v>32</v>
      </c>
      <c r="C16" s="149" t="str">
        <f>'5. GGexpenditure'!F25</f>
        <v>Yes</v>
      </c>
      <c r="D16" s="179" t="str">
        <f>'5. GGexpenditure'!G25</f>
        <v>Yes</v>
      </c>
    </row>
    <row r="17" spans="2:5" ht="52.5" customHeight="1" thickBot="1">
      <c r="B17" s="385"/>
      <c r="C17" s="105" t="str">
        <f>'5. GGexpenditure'!F26</f>
        <v>Escape clause A5 emerge</v>
      </c>
      <c r="D17" s="109" t="str">
        <f>'5. GGexpenditure'!G26</f>
        <v>Escape clause A5 emerge</v>
      </c>
    </row>
    <row r="18" spans="2:5" ht="22.6" customHeight="1">
      <c r="B18" s="383" t="s">
        <v>33</v>
      </c>
      <c r="C18" s="104" t="str">
        <f>'5. GGexpenditure'!F31</f>
        <v>Netaikoma</v>
      </c>
      <c r="D18" s="108" t="str">
        <f>'5. GGexpenditure'!G31</f>
        <v>Netaikoma</v>
      </c>
    </row>
    <row r="19" spans="2:5" ht="68.95" customHeight="1">
      <c r="B19" s="386"/>
      <c r="C19" s="106" t="str">
        <f>'5. GGexpenditure'!F32</f>
        <v>Susidarė viena iš KĮ numatytų netaikymo aplinkybių</v>
      </c>
      <c r="D19" s="107" t="str">
        <f>'5. GGexpenditure'!G32</f>
        <v>Susidarė viena iš KĮ numatytų netaikymo aplinkybių</v>
      </c>
    </row>
    <row r="20" spans="2:5">
      <c r="B20" s="384" t="s">
        <v>34</v>
      </c>
      <c r="C20" s="149" t="str">
        <f>'5. GGexpenditure'!F33</f>
        <v>Not applied</v>
      </c>
      <c r="D20" s="179" t="str">
        <f>'5. GGexpenditure'!G33</f>
        <v>Not applied</v>
      </c>
    </row>
    <row r="21" spans="2:5" ht="64.55" customHeight="1" thickBot="1">
      <c r="B21" s="385"/>
      <c r="C21" s="105" t="str">
        <f>'5. GGexpenditure'!F34</f>
        <v>CL escape clause emerged</v>
      </c>
      <c r="D21" s="109" t="str">
        <f>'5. GGexpenditure'!G34</f>
        <v>CL escape clause emerged</v>
      </c>
    </row>
    <row r="22" spans="2:5" ht="19.55" customHeight="1">
      <c r="B22" s="184" t="s">
        <v>35</v>
      </c>
      <c r="C22" s="104" t="str">
        <f>'5. GGexpenditure'!F31</f>
        <v>Netaikoma</v>
      </c>
      <c r="D22" s="108" t="str">
        <f>'5. GGexpenditure'!G31</f>
        <v>Netaikoma</v>
      </c>
    </row>
    <row r="23" spans="2:5" ht="14.3" thickBot="1">
      <c r="B23" s="183" t="s">
        <v>36</v>
      </c>
      <c r="C23" s="105" t="str">
        <f>'5. GGexpenditure'!F33</f>
        <v>Not applied</v>
      </c>
      <c r="D23" s="109" t="str">
        <f>'5. GGexpenditure'!G33</f>
        <v>Not applied</v>
      </c>
    </row>
    <row r="24" spans="2:5" ht="15.8" customHeight="1" thickBot="1">
      <c r="B24" s="359" t="s">
        <v>37</v>
      </c>
      <c r="C24" s="360" t="s">
        <v>38</v>
      </c>
      <c r="D24" s="361"/>
    </row>
    <row r="25" spans="2:5">
      <c r="B25" s="184" t="s">
        <v>39</v>
      </c>
      <c r="C25" s="104" t="str">
        <f>'6. GGbudgets'!E9</f>
        <v>Tenkinama</v>
      </c>
      <c r="D25" s="108" t="str">
        <f>'6. GGbudgets'!F9</f>
        <v>Tenkinama</v>
      </c>
    </row>
    <row r="26" spans="2:5" ht="14.3" thickBot="1">
      <c r="B26" s="183" t="s">
        <v>40</v>
      </c>
      <c r="C26" s="105" t="str">
        <f>'6. GGbudgets'!E10</f>
        <v>Valid</v>
      </c>
      <c r="D26" s="109" t="str">
        <f>'6. GGbudgets'!F10</f>
        <v>Valid</v>
      </c>
    </row>
    <row r="27" spans="2:5">
      <c r="B27" s="184" t="s">
        <v>41</v>
      </c>
      <c r="C27" s="104" t="str">
        <f>'6. GGbudgets'!E17</f>
        <v>Tenkinama</v>
      </c>
      <c r="D27" s="108" t="str">
        <f>'6. GGbudgets'!F17</f>
        <v>Tenkinama</v>
      </c>
    </row>
    <row r="28" spans="2:5" ht="14.3" thickBot="1">
      <c r="B28" s="185" t="s">
        <v>42</v>
      </c>
      <c r="C28" s="105" t="str">
        <f>'6. GGbudgets'!E18</f>
        <v>Valid</v>
      </c>
      <c r="D28" s="109" t="str">
        <f>'6. GGbudgets'!F18</f>
        <v>Valid</v>
      </c>
    </row>
    <row r="29" spans="2:5">
      <c r="B29" s="34"/>
      <c r="C29" s="34"/>
      <c r="D29" s="34"/>
    </row>
    <row r="30" spans="2:5" ht="14.3" thickBot="1">
      <c r="B30" s="6" t="s">
        <v>43</v>
      </c>
      <c r="C30" s="6"/>
      <c r="D30" s="6"/>
      <c r="E30" s="38" t="s">
        <v>44</v>
      </c>
    </row>
    <row r="31" spans="2:5" ht="14.95" thickTop="1" thickBot="1">
      <c r="B31" s="7" t="s">
        <v>45</v>
      </c>
      <c r="C31" s="378" t="s">
        <v>23</v>
      </c>
      <c r="D31" s="379"/>
      <c r="E31" s="38" t="s">
        <v>46</v>
      </c>
    </row>
    <row r="32" spans="2:5" ht="14.3" thickBot="1">
      <c r="B32" s="7" t="s">
        <v>47</v>
      </c>
      <c r="C32" s="380" t="s">
        <v>24</v>
      </c>
      <c r="D32" s="381"/>
      <c r="E32" s="38" t="s">
        <v>48</v>
      </c>
    </row>
    <row r="33" ht="14.3" thickTop="1"/>
  </sheetData>
  <mergeCells count="15">
    <mergeCell ref="B24:D24"/>
    <mergeCell ref="C31:D31"/>
    <mergeCell ref="C32:D32"/>
    <mergeCell ref="B14:B15"/>
    <mergeCell ref="B16:B17"/>
    <mergeCell ref="B20:B21"/>
    <mergeCell ref="B18:B19"/>
    <mergeCell ref="B13:D13"/>
    <mergeCell ref="B9:B10"/>
    <mergeCell ref="B3:D3"/>
    <mergeCell ref="B8:D8"/>
    <mergeCell ref="C4:D4"/>
    <mergeCell ref="B11:B12"/>
    <mergeCell ref="C6:D6"/>
    <mergeCell ref="C7:D7"/>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7"/>
  </sheetPr>
  <dimension ref="A1:Y61"/>
  <sheetViews>
    <sheetView showGridLines="0" showRowColHeaders="0" zoomScaleNormal="100" workbookViewId="0">
      <pane ySplit="5" topLeftCell="A6" activePane="bottomLeft" state="frozen"/>
      <selection pane="bottomLeft"/>
    </sheetView>
  </sheetViews>
  <sheetFormatPr defaultColWidth="10" defaultRowHeight="13.6"/>
  <cols>
    <col min="1" max="1" width="4.5" style="1" customWidth="1"/>
    <col min="2" max="2" width="51.375" style="1" customWidth="1"/>
    <col min="3" max="3" width="40.875" style="1" customWidth="1"/>
    <col min="4" max="4" width="21.125" style="1" customWidth="1"/>
    <col min="5" max="7" width="11.5" style="1" customWidth="1"/>
    <col min="8" max="8" width="11.625" style="1" customWidth="1"/>
    <col min="9" max="11" width="11.5" style="1" customWidth="1"/>
    <col min="12" max="12" width="11.625" style="45" customWidth="1"/>
    <col min="13" max="15" width="11.5" style="45" customWidth="1"/>
    <col min="16" max="16384" width="10" style="1"/>
  </cols>
  <sheetData>
    <row r="1" spans="1:19">
      <c r="B1" s="73" t="s">
        <v>19</v>
      </c>
      <c r="C1" s="3"/>
      <c r="D1" s="3"/>
    </row>
    <row r="2" spans="1:19" ht="14.3" thickBot="1">
      <c r="A2" s="8" t="s">
        <v>20</v>
      </c>
      <c r="B2" s="9"/>
      <c r="C2" s="9"/>
    </row>
    <row r="3" spans="1:19" ht="40.25" customHeight="1" thickTop="1" thickBot="1">
      <c r="B3" s="398" t="s">
        <v>49</v>
      </c>
      <c r="C3" s="399"/>
      <c r="D3" s="399"/>
      <c r="E3" s="399"/>
      <c r="F3" s="399"/>
      <c r="G3" s="399"/>
      <c r="H3" s="399"/>
      <c r="I3" s="399"/>
      <c r="J3" s="399"/>
      <c r="K3" s="399"/>
      <c r="L3" s="399"/>
      <c r="M3" s="399"/>
      <c r="N3" s="399"/>
      <c r="O3" s="399"/>
      <c r="P3" s="400"/>
    </row>
    <row r="4" spans="1:19" ht="22.95" customHeight="1" thickBot="1">
      <c r="B4" s="395" t="s">
        <v>50</v>
      </c>
      <c r="C4" s="370" t="s">
        <v>51</v>
      </c>
      <c r="D4" s="396" t="s">
        <v>52</v>
      </c>
      <c r="E4" s="401"/>
      <c r="F4" s="402"/>
      <c r="G4" s="402"/>
      <c r="H4" s="402"/>
      <c r="I4" s="402"/>
      <c r="J4" s="402"/>
      <c r="K4" s="402"/>
      <c r="L4" s="403"/>
      <c r="M4" s="404" t="s">
        <v>301</v>
      </c>
      <c r="N4" s="405"/>
      <c r="O4" s="405"/>
      <c r="P4" s="406"/>
    </row>
    <row r="5" spans="1:19" ht="20.25" customHeight="1" thickBot="1">
      <c r="B5" s="395"/>
      <c r="C5" s="370"/>
      <c r="D5" s="396"/>
      <c r="E5" s="76">
        <f>2017</f>
        <v>2017</v>
      </c>
      <c r="F5" s="76">
        <f>E5+1</f>
        <v>2018</v>
      </c>
      <c r="G5" s="76">
        <f t="shared" ref="G5:L5" si="0">F5+1</f>
        <v>2019</v>
      </c>
      <c r="H5" s="76">
        <f t="shared" si="0"/>
        <v>2020</v>
      </c>
      <c r="I5" s="76">
        <f t="shared" si="0"/>
        <v>2021</v>
      </c>
      <c r="J5" s="76">
        <f t="shared" si="0"/>
        <v>2022</v>
      </c>
      <c r="K5" s="76">
        <f t="shared" si="0"/>
        <v>2023</v>
      </c>
      <c r="L5" s="76">
        <f t="shared" si="0"/>
        <v>2024</v>
      </c>
      <c r="M5" s="76" t="str">
        <f>CONCATENATE(K5+2,"P")</f>
        <v>2025P</v>
      </c>
      <c r="N5" s="76" t="str">
        <f>CONCATENATE(K5+3,"P")</f>
        <v>2026P</v>
      </c>
      <c r="O5" s="331" t="str">
        <f>CONCATENATE(K5+4,"P")</f>
        <v>2027P</v>
      </c>
      <c r="P5" s="95" t="str">
        <f>CONCATENATE(K5+5,"P")</f>
        <v>2028P</v>
      </c>
    </row>
    <row r="6" spans="1:19" ht="14.3" thickBot="1">
      <c r="B6" s="96" t="s">
        <v>53</v>
      </c>
      <c r="C6" s="77" t="s">
        <v>54</v>
      </c>
      <c r="D6" s="78"/>
      <c r="E6" s="79" t="s">
        <v>244</v>
      </c>
      <c r="F6" s="79" t="s">
        <v>245</v>
      </c>
      <c r="G6" s="79" t="s">
        <v>246</v>
      </c>
      <c r="H6" s="79" t="s">
        <v>247</v>
      </c>
      <c r="I6" s="79" t="s">
        <v>248</v>
      </c>
      <c r="J6" s="79" t="s">
        <v>55</v>
      </c>
      <c r="K6" s="79" t="s">
        <v>56</v>
      </c>
      <c r="L6" s="79" t="s">
        <v>57</v>
      </c>
      <c r="M6" s="79" t="s">
        <v>58</v>
      </c>
      <c r="N6" s="79" t="s">
        <v>59</v>
      </c>
      <c r="O6" s="332" t="s">
        <v>314</v>
      </c>
      <c r="P6" s="339" t="s">
        <v>315</v>
      </c>
    </row>
    <row r="7" spans="1:19" ht="14.3" thickBot="1">
      <c r="B7" s="392" t="s">
        <v>60</v>
      </c>
      <c r="C7" s="397" t="s">
        <v>61</v>
      </c>
      <c r="D7" s="80">
        <v>45915</v>
      </c>
      <c r="E7" s="186">
        <v>42274.6</v>
      </c>
      <c r="F7" s="186">
        <v>45947.5</v>
      </c>
      <c r="G7" s="186">
        <v>49239.199999999997</v>
      </c>
      <c r="H7" s="186">
        <v>50264.6</v>
      </c>
      <c r="I7" s="186">
        <v>56679.7</v>
      </c>
      <c r="J7" s="186">
        <v>67455.5</v>
      </c>
      <c r="K7" s="186">
        <v>73792.800000000003</v>
      </c>
      <c r="L7" s="186">
        <v>78409.8</v>
      </c>
      <c r="M7" s="187">
        <v>83464.899999999994</v>
      </c>
      <c r="N7" s="187">
        <v>89072.6</v>
      </c>
      <c r="O7" s="333">
        <v>93566.6</v>
      </c>
      <c r="P7" s="188">
        <v>98624.2</v>
      </c>
    </row>
    <row r="8" spans="1:19" ht="14.3" thickBot="1">
      <c r="B8" s="393"/>
      <c r="C8" s="397"/>
      <c r="D8" s="80">
        <v>45915</v>
      </c>
      <c r="E8" s="186">
        <v>42274.6</v>
      </c>
      <c r="F8" s="186">
        <v>45947.5</v>
      </c>
      <c r="G8" s="186">
        <v>49239.199999999997</v>
      </c>
      <c r="H8" s="186">
        <v>50264.6</v>
      </c>
      <c r="I8" s="186">
        <v>56679.7</v>
      </c>
      <c r="J8" s="186">
        <v>67455.5</v>
      </c>
      <c r="K8" s="186">
        <v>73792.800000000003</v>
      </c>
      <c r="L8" s="186">
        <f t="shared" ref="L8:O8" si="1">L7</f>
        <v>78409.8</v>
      </c>
      <c r="M8" s="187">
        <f t="shared" si="1"/>
        <v>83464.899999999994</v>
      </c>
      <c r="N8" s="187">
        <f t="shared" si="1"/>
        <v>89072.6</v>
      </c>
      <c r="O8" s="333">
        <f t="shared" si="1"/>
        <v>93566.6</v>
      </c>
      <c r="P8" s="188">
        <f t="shared" ref="P8" si="2">P7</f>
        <v>98624.2</v>
      </c>
    </row>
    <row r="9" spans="1:19" ht="14.3" thickBot="1">
      <c r="B9" s="392" t="s">
        <v>62</v>
      </c>
      <c r="C9" s="387" t="s">
        <v>63</v>
      </c>
      <c r="D9" s="80">
        <f>$D$7</f>
        <v>45915</v>
      </c>
      <c r="E9" s="189"/>
      <c r="F9" s="189">
        <f>(F7/E7-1)*100</f>
        <v>8.6881957487474857</v>
      </c>
      <c r="G9" s="189">
        <f t="shared" ref="G9:J9" si="3">(G7/F7-1)*100</f>
        <v>7.1640459219761699</v>
      </c>
      <c r="H9" s="189">
        <f t="shared" si="3"/>
        <v>2.0824871240800125</v>
      </c>
      <c r="I9" s="189">
        <f t="shared" si="3"/>
        <v>12.762660003262738</v>
      </c>
      <c r="J9" s="189">
        <f t="shared" si="3"/>
        <v>19.011744945721311</v>
      </c>
      <c r="K9" s="189">
        <f>(K7/J7-1)*100</f>
        <v>9.3947861923786782</v>
      </c>
      <c r="L9" s="321">
        <f>(L7/K7-1)*100</f>
        <v>6.256707971509412</v>
      </c>
      <c r="M9" s="187">
        <f t="shared" ref="L9:N10" si="4">(M7/L7-1)*100</f>
        <v>6.4470257544337439</v>
      </c>
      <c r="N9" s="187">
        <f t="shared" si="4"/>
        <v>6.7186326228151128</v>
      </c>
      <c r="O9" s="333">
        <f>(O7/N7-1)*100</f>
        <v>5.0453225795586976</v>
      </c>
      <c r="P9" s="188">
        <f>(P7/O7-1)*100</f>
        <v>5.4053476347329044</v>
      </c>
    </row>
    <row r="10" spans="1:19" ht="14.3" thickBot="1">
      <c r="B10" s="393"/>
      <c r="C10" s="387"/>
      <c r="D10" s="80">
        <f>$D$8</f>
        <v>45915</v>
      </c>
      <c r="E10" s="189"/>
      <c r="F10" s="189">
        <f>(F8/E8-1)*100</f>
        <v>8.6881957487474857</v>
      </c>
      <c r="G10" s="189">
        <f t="shared" ref="G10:K10" si="5">(G8/F8-1)*100</f>
        <v>7.1640459219761699</v>
      </c>
      <c r="H10" s="189">
        <f t="shared" si="5"/>
        <v>2.0824871240800125</v>
      </c>
      <c r="I10" s="189">
        <f t="shared" si="5"/>
        <v>12.762660003262738</v>
      </c>
      <c r="J10" s="189">
        <f t="shared" si="5"/>
        <v>19.011744945721311</v>
      </c>
      <c r="K10" s="189">
        <f t="shared" si="5"/>
        <v>9.3947861923786782</v>
      </c>
      <c r="L10" s="321">
        <f t="shared" si="4"/>
        <v>6.256707971509412</v>
      </c>
      <c r="M10" s="187">
        <f>(M8/L8-1)*100</f>
        <v>6.4470257544337439</v>
      </c>
      <c r="N10" s="187">
        <f t="shared" si="4"/>
        <v>6.7186326228151128</v>
      </c>
      <c r="O10" s="333">
        <f>(O8/N8-1)*100</f>
        <v>5.0453225795586976</v>
      </c>
      <c r="P10" s="188">
        <f>(P8/O8-1)*100</f>
        <v>5.4053476347329044</v>
      </c>
    </row>
    <row r="11" spans="1:19" ht="14.3" thickBot="1">
      <c r="B11" s="392" t="s">
        <v>64</v>
      </c>
      <c r="C11" s="387" t="s">
        <v>65</v>
      </c>
      <c r="D11" s="80">
        <f>$D$7</f>
        <v>45915</v>
      </c>
      <c r="E11" s="186">
        <v>48492.800000000003</v>
      </c>
      <c r="F11" s="186">
        <v>50877.8</v>
      </c>
      <c r="G11" s="186">
        <v>53257.7</v>
      </c>
      <c r="H11" s="186">
        <v>53280.4</v>
      </c>
      <c r="I11" s="186">
        <v>56679.7</v>
      </c>
      <c r="J11" s="186">
        <v>58117.9</v>
      </c>
      <c r="K11" s="186">
        <v>58316.7</v>
      </c>
      <c r="L11" s="186">
        <v>59933.7</v>
      </c>
      <c r="M11" s="187">
        <v>61514.8</v>
      </c>
      <c r="N11" s="187">
        <v>63539.3</v>
      </c>
      <c r="O11" s="333">
        <v>65015.7</v>
      </c>
      <c r="P11" s="188">
        <v>66785.600000000006</v>
      </c>
    </row>
    <row r="12" spans="1:19" ht="14.3" thickBot="1">
      <c r="B12" s="393"/>
      <c r="C12" s="387"/>
      <c r="D12" s="80">
        <f>D10</f>
        <v>45915</v>
      </c>
      <c r="E12" s="186">
        <f t="shared" ref="E12:K12" si="6">E11</f>
        <v>48492.800000000003</v>
      </c>
      <c r="F12" s="186">
        <f t="shared" si="6"/>
        <v>50877.8</v>
      </c>
      <c r="G12" s="186">
        <f t="shared" si="6"/>
        <v>53257.7</v>
      </c>
      <c r="H12" s="186">
        <f t="shared" si="6"/>
        <v>53280.4</v>
      </c>
      <c r="I12" s="186">
        <f t="shared" si="6"/>
        <v>56679.7</v>
      </c>
      <c r="J12" s="186">
        <f t="shared" si="6"/>
        <v>58117.9</v>
      </c>
      <c r="K12" s="186">
        <f t="shared" si="6"/>
        <v>58316.7</v>
      </c>
      <c r="L12" s="186">
        <f>L11</f>
        <v>59933.7</v>
      </c>
      <c r="M12" s="187">
        <f t="shared" ref="M12:O12" si="7">M11</f>
        <v>61514.8</v>
      </c>
      <c r="N12" s="187">
        <f t="shared" si="7"/>
        <v>63539.3</v>
      </c>
      <c r="O12" s="333">
        <f t="shared" si="7"/>
        <v>65015.7</v>
      </c>
      <c r="P12" s="188">
        <f t="shared" ref="P12" si="8">P11</f>
        <v>66785.600000000006</v>
      </c>
      <c r="S12" s="48"/>
    </row>
    <row r="13" spans="1:19" ht="14.3" thickBot="1">
      <c r="B13" s="392" t="s">
        <v>66</v>
      </c>
      <c r="C13" s="387" t="s">
        <v>67</v>
      </c>
      <c r="D13" s="80">
        <f>$D$7</f>
        <v>45915</v>
      </c>
      <c r="E13" s="189"/>
      <c r="F13" s="189">
        <f>(F11/E11-1)*100</f>
        <v>4.9182559060314102</v>
      </c>
      <c r="G13" s="189">
        <f t="shared" ref="G13:J13" si="9">(G11/F11-1)*100</f>
        <v>4.6776786732130704</v>
      </c>
      <c r="H13" s="189">
        <f t="shared" si="9"/>
        <v>4.2622944663417428E-2</v>
      </c>
      <c r="I13" s="189">
        <f t="shared" si="9"/>
        <v>6.3800196695219968</v>
      </c>
      <c r="J13" s="189">
        <f t="shared" si="9"/>
        <v>2.5374163942293304</v>
      </c>
      <c r="K13" s="189">
        <f>(K11/J11-1)*100</f>
        <v>0.34206328859094359</v>
      </c>
      <c r="L13" s="321">
        <f t="shared" ref="L13:N13" si="10">(L11/K11-1)*100</f>
        <v>2.7727906414457548</v>
      </c>
      <c r="M13" s="187">
        <f t="shared" si="10"/>
        <v>2.6380817469971118</v>
      </c>
      <c r="N13" s="187">
        <f t="shared" si="10"/>
        <v>3.2910779194600392</v>
      </c>
      <c r="O13" s="333">
        <f>(O11/N11-1)*100</f>
        <v>2.3236012987237764</v>
      </c>
      <c r="P13" s="188">
        <f>(P11/O11-1)*100</f>
        <v>2.722265545091429</v>
      </c>
    </row>
    <row r="14" spans="1:19" ht="14.3" thickBot="1">
      <c r="B14" s="393"/>
      <c r="C14" s="387"/>
      <c r="D14" s="80">
        <f>$D$12</f>
        <v>45915</v>
      </c>
      <c r="E14" s="189"/>
      <c r="F14" s="189">
        <f>(F12/E12-1)*100</f>
        <v>4.9182559060314102</v>
      </c>
      <c r="G14" s="189">
        <f t="shared" ref="G14:H14" si="11">(G12/F12-1)*100</f>
        <v>4.6776786732130704</v>
      </c>
      <c r="H14" s="189">
        <f t="shared" si="11"/>
        <v>4.2622944663417428E-2</v>
      </c>
      <c r="I14" s="190">
        <f>(I12/H12-1)*100</f>
        <v>6.3800196695219968</v>
      </c>
      <c r="J14" s="190">
        <f>(J12-I12)/I12*100</f>
        <v>2.5374163942293348</v>
      </c>
      <c r="K14" s="190">
        <f>(K12-J12)/J12*100</f>
        <v>0.34206328859094293</v>
      </c>
      <c r="L14" s="321">
        <f t="shared" ref="L14:N14" si="12">(L12-K12)/K12*100</f>
        <v>2.772790641445761</v>
      </c>
      <c r="M14" s="187">
        <f t="shared" si="12"/>
        <v>2.6380817469971083</v>
      </c>
      <c r="N14" s="187">
        <f t="shared" si="12"/>
        <v>3.2910779194600321</v>
      </c>
      <c r="O14" s="333">
        <f>(O12-N12)/N12*100</f>
        <v>2.3236012987237724</v>
      </c>
      <c r="P14" s="188">
        <f>(P12-O12)/O12*100</f>
        <v>2.7222655450914299</v>
      </c>
    </row>
    <row r="15" spans="1:19" ht="14.3" thickBot="1">
      <c r="B15" s="392" t="s">
        <v>68</v>
      </c>
      <c r="C15" s="387" t="s">
        <v>69</v>
      </c>
      <c r="D15" s="80">
        <v>45946</v>
      </c>
      <c r="E15" s="191">
        <v>47809.735993047463</v>
      </c>
      <c r="F15" s="191">
        <v>49360.044542892574</v>
      </c>
      <c r="G15" s="191">
        <v>51023.270307446786</v>
      </c>
      <c r="H15" s="191">
        <v>52657.45691072318</v>
      </c>
      <c r="I15" s="191">
        <v>54502.91677881145</v>
      </c>
      <c r="J15" s="191">
        <v>56311.150417069119</v>
      </c>
      <c r="K15" s="191">
        <v>58131.790803480864</v>
      </c>
      <c r="L15" s="191">
        <v>59962.72740806306</v>
      </c>
      <c r="M15" s="191">
        <v>61780.048730255992</v>
      </c>
      <c r="N15" s="191">
        <v>63558.747016121837</v>
      </c>
      <c r="O15" s="334">
        <v>65278.289534780088</v>
      </c>
      <c r="P15" s="192">
        <v>66921.253205661575</v>
      </c>
    </row>
    <row r="16" spans="1:19" ht="14.3" thickBot="1">
      <c r="B16" s="393"/>
      <c r="C16" s="387"/>
      <c r="D16" s="322">
        <v>45946</v>
      </c>
      <c r="E16" s="187">
        <v>47238.374897128204</v>
      </c>
      <c r="F16" s="187">
        <v>48941.026274019772</v>
      </c>
      <c r="G16" s="187">
        <v>51122.819471697716</v>
      </c>
      <c r="H16" s="187">
        <v>53230.250814997722</v>
      </c>
      <c r="I16" s="187">
        <v>55424.135881253031</v>
      </c>
      <c r="J16" s="187">
        <v>57453.260714159558</v>
      </c>
      <c r="K16" s="187">
        <v>59362.665461551565</v>
      </c>
      <c r="L16" s="187">
        <v>60851.881020255016</v>
      </c>
      <c r="M16" s="187">
        <v>62282.760232557739</v>
      </c>
      <c r="N16" s="187">
        <v>63807.047928335262</v>
      </c>
      <c r="O16" s="333">
        <v>65347.937269526265</v>
      </c>
      <c r="P16" s="188">
        <v>66914.03027431923</v>
      </c>
      <c r="Q16" s="48"/>
      <c r="R16" s="48"/>
    </row>
    <row r="17" spans="2:25" ht="14.3" thickBot="1">
      <c r="B17" s="392" t="s">
        <v>70</v>
      </c>
      <c r="C17" s="387" t="s">
        <v>71</v>
      </c>
      <c r="D17" s="80">
        <f>D15</f>
        <v>45946</v>
      </c>
      <c r="E17" s="191"/>
      <c r="F17" s="191">
        <f>(F15/E15-1)*100</f>
        <v>3.2426628544248048</v>
      </c>
      <c r="G17" s="191">
        <f>(G15/F15-1)*100</f>
        <v>3.3695791402880815</v>
      </c>
      <c r="H17" s="191">
        <f t="shared" ref="H17:I18" si="13">(H15/G15-1)*100</f>
        <v>3.2028260702017031</v>
      </c>
      <c r="I17" s="191">
        <f t="shared" si="13"/>
        <v>3.5046505782022619</v>
      </c>
      <c r="J17" s="191">
        <f>(J15/I15-1)*100</f>
        <v>3.3176823280779644</v>
      </c>
      <c r="K17" s="191">
        <f>(K15/J15-1)*100</f>
        <v>3.2331791713135827</v>
      </c>
      <c r="L17" s="191">
        <f t="shared" ref="L17:N17" si="14">(L15/K15-1)*100</f>
        <v>3.1496304849300438</v>
      </c>
      <c r="M17" s="191">
        <f>(M15/L15-1)*100</f>
        <v>3.0307516031176318</v>
      </c>
      <c r="N17" s="191">
        <f t="shared" si="14"/>
        <v>2.8790820376850101</v>
      </c>
      <c r="O17" s="334">
        <f>(O15/N15-1)*100</f>
        <v>2.7054380386417609</v>
      </c>
      <c r="P17" s="192">
        <f>(P15/O15-1)*100</f>
        <v>2.5168607857074976</v>
      </c>
    </row>
    <row r="18" spans="2:25" ht="14.3" thickBot="1">
      <c r="B18" s="393"/>
      <c r="C18" s="387"/>
      <c r="D18" s="80">
        <f>$D$16</f>
        <v>45946</v>
      </c>
      <c r="E18" s="187"/>
      <c r="F18" s="187">
        <f>(F16/E16-1)*100</f>
        <v>3.6043817777378306</v>
      </c>
      <c r="G18" s="187">
        <f>(G16/F16-1)*100</f>
        <v>4.4580045899776044</v>
      </c>
      <c r="H18" s="187">
        <f t="shared" si="13"/>
        <v>4.1222909164208232</v>
      </c>
      <c r="I18" s="187">
        <f t="shared" si="13"/>
        <v>4.121500523978705</v>
      </c>
      <c r="J18" s="187">
        <f>(J16/I16-1)*100</f>
        <v>3.6610851944610445</v>
      </c>
      <c r="K18" s="187">
        <f>(K16/J16-1)*100</f>
        <v>3.3234053623024895</v>
      </c>
      <c r="L18" s="187">
        <f t="shared" ref="L18:N18" si="15">(L16/K16-1)*100</f>
        <v>2.5086736707737645</v>
      </c>
      <c r="M18" s="187">
        <f>(M16/L16-1)*100</f>
        <v>2.3514132814176136</v>
      </c>
      <c r="N18" s="187">
        <f t="shared" si="15"/>
        <v>2.4473669601122072</v>
      </c>
      <c r="O18" s="333">
        <f>(O16/N16-1)*100</f>
        <v>2.4149202810975545</v>
      </c>
      <c r="P18" s="188">
        <f>(P16/O16-1)*100</f>
        <v>2.3965454308582768</v>
      </c>
    </row>
    <row r="19" spans="2:25" ht="14.3" thickBot="1">
      <c r="B19" s="392" t="s">
        <v>72</v>
      </c>
      <c r="C19" s="387" t="s">
        <v>73</v>
      </c>
      <c r="D19" s="80">
        <f>D15</f>
        <v>45946</v>
      </c>
      <c r="E19" s="191">
        <f t="shared" ref="E19:K19" si="16">(E12/E15-1)*100</f>
        <v>1.428713195680209</v>
      </c>
      <c r="F19" s="191">
        <f t="shared" si="16"/>
        <v>3.0748664657069824</v>
      </c>
      <c r="G19" s="191">
        <f t="shared" si="16"/>
        <v>4.3792365308797043</v>
      </c>
      <c r="H19" s="191">
        <f t="shared" si="16"/>
        <v>1.183010205625723</v>
      </c>
      <c r="I19" s="191">
        <f t="shared" si="16"/>
        <v>3.9938839053743846</v>
      </c>
      <c r="J19" s="191">
        <f t="shared" si="16"/>
        <v>3.2085112265495708</v>
      </c>
      <c r="K19" s="191">
        <f t="shared" si="16"/>
        <v>0.31808618651407716</v>
      </c>
      <c r="L19" s="191">
        <f>(L12/L15-1)*100</f>
        <v>-4.8409085640022109E-2</v>
      </c>
      <c r="M19" s="191">
        <f>(M12/M15-1)*100</f>
        <v>-0.4293436727674349</v>
      </c>
      <c r="N19" s="191">
        <f t="shared" ref="N19:O19" si="17">(N12/N15-1)*100</f>
        <v>-3.0596915507008493E-2</v>
      </c>
      <c r="O19" s="334">
        <f t="shared" si="17"/>
        <v>-0.40226166563415156</v>
      </c>
      <c r="P19" s="192">
        <f t="shared" ref="P19" si="18">(P12/P15-1)*100</f>
        <v>-0.20270571629117384</v>
      </c>
    </row>
    <row r="20" spans="2:25" ht="14.3" thickBot="1">
      <c r="B20" s="393"/>
      <c r="C20" s="387"/>
      <c r="D20" s="80">
        <f>$D$16</f>
        <v>45946</v>
      </c>
      <c r="E20" s="187">
        <f t="shared" ref="E20:I20" si="19">(E$12/E16-1)*100</f>
        <v>2.6555212909072035</v>
      </c>
      <c r="F20" s="187">
        <f t="shared" si="19"/>
        <v>3.9573623060870755</v>
      </c>
      <c r="G20" s="187">
        <f t="shared" si="19"/>
        <v>4.1759835438735626</v>
      </c>
      <c r="H20" s="187">
        <f t="shared" si="19"/>
        <v>9.4211814211764278E-2</v>
      </c>
      <c r="I20" s="187">
        <f t="shared" si="19"/>
        <v>2.2653742792436704</v>
      </c>
      <c r="J20" s="187">
        <f>(J$12/J16-1)*100</f>
        <v>1.1568347515507282</v>
      </c>
      <c r="K20" s="187">
        <f>(K$12/K16-1)*100</f>
        <v>-1.7619920760280294</v>
      </c>
      <c r="L20" s="187">
        <f>(L$12/L16-1)*100</f>
        <v>-1.5088786161752243</v>
      </c>
      <c r="M20" s="187">
        <f>(M$12/M16-1)*100</f>
        <v>-1.2330221552324439</v>
      </c>
      <c r="N20" s="187">
        <f t="shared" ref="N20" si="20">(N$12/N16-1)*100</f>
        <v>-0.41962124409199442</v>
      </c>
      <c r="O20" s="333">
        <f>(O$12/O16-1)*100</f>
        <v>-0.50841278762321362</v>
      </c>
      <c r="P20" s="188">
        <f>(P$12/P16-1)*100</f>
        <v>-0.19193325195435706</v>
      </c>
    </row>
    <row r="21" spans="2:25" ht="17.350000000000001" customHeight="1" thickBot="1">
      <c r="B21" s="390" t="s">
        <v>74</v>
      </c>
      <c r="C21" s="387" t="s">
        <v>75</v>
      </c>
      <c r="D21" s="80">
        <f>$D$15</f>
        <v>45946</v>
      </c>
      <c r="E21" s="191">
        <f t="shared" ref="E21:O21" si="21">E19*E37</f>
        <v>0.57005656507640345</v>
      </c>
      <c r="F21" s="191">
        <f>F19*F37</f>
        <v>1.226871719817086</v>
      </c>
      <c r="G21" s="191">
        <f t="shared" si="21"/>
        <v>1.747315375821002</v>
      </c>
      <c r="H21" s="191">
        <f t="shared" si="21"/>
        <v>0.47202107204466348</v>
      </c>
      <c r="I21" s="191">
        <f t="shared" si="21"/>
        <v>1.5935596782443795</v>
      </c>
      <c r="J21" s="191">
        <f t="shared" si="21"/>
        <v>1.2801959793932789</v>
      </c>
      <c r="K21" s="191">
        <f t="shared" si="21"/>
        <v>0.12691638841911679</v>
      </c>
      <c r="L21" s="191">
        <f>L19*L37</f>
        <v>-1.9315225170368822E-2</v>
      </c>
      <c r="M21" s="191">
        <f>M19*M37</f>
        <v>-0.17130812543420654</v>
      </c>
      <c r="N21" s="191">
        <f t="shared" si="21"/>
        <v>-1.2208169287296389E-2</v>
      </c>
      <c r="O21" s="334">
        <f t="shared" si="21"/>
        <v>-0.16050240458802648</v>
      </c>
      <c r="P21" s="192">
        <f t="shared" ref="P21" si="22">P19*P37</f>
        <v>-8.0879580800178374E-2</v>
      </c>
    </row>
    <row r="22" spans="2:25" ht="14.3" thickBot="1">
      <c r="B22" s="391"/>
      <c r="C22" s="387"/>
      <c r="D22" s="80">
        <f>$D$16</f>
        <v>45946</v>
      </c>
      <c r="E22" s="187">
        <f t="shared" ref="E22:O22" si="23">E20*E37</f>
        <v>1.0595529950719742</v>
      </c>
      <c r="F22" s="187">
        <f t="shared" si="23"/>
        <v>1.5789875601287433</v>
      </c>
      <c r="G22" s="187">
        <f>G20*G37</f>
        <v>1.6662174340055516</v>
      </c>
      <c r="H22" s="187">
        <f t="shared" si="23"/>
        <v>3.7590513870493947E-2</v>
      </c>
      <c r="I22" s="187">
        <f t="shared" si="23"/>
        <v>0.90388433741822449</v>
      </c>
      <c r="J22" s="187">
        <f t="shared" si="23"/>
        <v>0.46157706586874059</v>
      </c>
      <c r="K22" s="187">
        <f>K20*K37</f>
        <v>-0.70303483833518376</v>
      </c>
      <c r="L22" s="187">
        <f>L20*L37</f>
        <v>-0.60204256785391452</v>
      </c>
      <c r="M22" s="187">
        <f t="shared" si="23"/>
        <v>-0.49197583993774513</v>
      </c>
      <c r="N22" s="187">
        <f t="shared" si="23"/>
        <v>-0.16742887639270579</v>
      </c>
      <c r="O22" s="333">
        <f t="shared" si="23"/>
        <v>-0.20285670226166225</v>
      </c>
      <c r="P22" s="188">
        <f t="shared" ref="P22" si="24">P20*P37</f>
        <v>-7.6581367529788474E-2</v>
      </c>
    </row>
    <row r="23" spans="2:25" ht="17.350000000000001" customHeight="1" thickBot="1">
      <c r="B23" s="390" t="s">
        <v>76</v>
      </c>
      <c r="C23" s="387" t="s">
        <v>77</v>
      </c>
      <c r="D23" s="80">
        <f>$D$15</f>
        <v>45946</v>
      </c>
      <c r="E23" s="193"/>
      <c r="F23" s="193"/>
      <c r="G23" s="193"/>
      <c r="H23" s="193"/>
      <c r="I23" s="191">
        <f>I19*I38</f>
        <v>0.40338227444281288</v>
      </c>
      <c r="J23" s="191">
        <f t="shared" ref="J23:N23" si="25">J19*J38</f>
        <v>0.28234898793636221</v>
      </c>
      <c r="K23" s="191">
        <f t="shared" si="25"/>
        <v>2.9263929159295099E-2</v>
      </c>
      <c r="L23" s="191">
        <f>L19*L38</f>
        <v>-4.4102374654187183E-3</v>
      </c>
      <c r="M23" s="191">
        <f>M19*M38</f>
        <v>-3.9155461838234686E-2</v>
      </c>
      <c r="N23" s="191">
        <f t="shared" si="25"/>
        <v>-2.7903076541866867E-3</v>
      </c>
      <c r="O23" s="334">
        <f>O19*O38</f>
        <v>-3.6684356363109273E-2</v>
      </c>
      <c r="P23" s="192">
        <f>P19*P38</f>
        <v>-1.849052191927272E-2</v>
      </c>
    </row>
    <row r="24" spans="2:25" ht="14.3" thickBot="1">
      <c r="B24" s="390"/>
      <c r="C24" s="387"/>
      <c r="D24" s="80">
        <f>$D$16</f>
        <v>45946</v>
      </c>
      <c r="E24" s="193"/>
      <c r="F24" s="193"/>
      <c r="G24" s="193"/>
      <c r="H24" s="193"/>
      <c r="I24" s="187">
        <f>I20*I38</f>
        <v>0.22880280220361074</v>
      </c>
      <c r="J24" s="187">
        <f t="shared" ref="J24:N24" si="26">J20*J38</f>
        <v>0.10180145813646407</v>
      </c>
      <c r="K24" s="187">
        <f t="shared" si="26"/>
        <v>-0.16210327099457872</v>
      </c>
      <c r="L24" s="187">
        <f t="shared" si="26"/>
        <v>-0.1374641333511063</v>
      </c>
      <c r="M24" s="187">
        <f t="shared" si="26"/>
        <v>-0.11244966446973521</v>
      </c>
      <c r="N24" s="187">
        <f t="shared" si="26"/>
        <v>-3.8267660313048006E-2</v>
      </c>
      <c r="O24" s="333">
        <f>O20*O38</f>
        <v>-4.636483531516588E-2</v>
      </c>
      <c r="P24" s="188">
        <f>P20*P38</f>
        <v>-1.7507873321152414E-2</v>
      </c>
    </row>
    <row r="25" spans="2:25" s="10" customFormat="1" ht="15.8" customHeight="1" thickBot="1">
      <c r="B25" s="390" t="s">
        <v>78</v>
      </c>
      <c r="C25" s="387" t="s">
        <v>79</v>
      </c>
      <c r="D25" s="80">
        <f>$D$15</f>
        <v>45946</v>
      </c>
      <c r="E25" s="193"/>
      <c r="F25" s="193"/>
      <c r="G25" s="193"/>
      <c r="H25" s="193"/>
      <c r="I25" s="191">
        <f>I19*I39</f>
        <v>0.17972477574184731</v>
      </c>
      <c r="J25" s="191">
        <f t="shared" ref="J25:O25" si="27">J19*J39</f>
        <v>0.13475747151508199</v>
      </c>
      <c r="K25" s="191">
        <f t="shared" si="27"/>
        <v>1.4631964579647549E-2</v>
      </c>
      <c r="L25" s="191">
        <f t="shared" si="27"/>
        <v>-2.3120798314229581E-3</v>
      </c>
      <c r="M25" s="191">
        <f>M19*M39</f>
        <v>-2.0409600921093132E-2</v>
      </c>
      <c r="N25" s="191">
        <f>N19*N39</f>
        <v>-1.454421055328723E-3</v>
      </c>
      <c r="O25" s="334">
        <f t="shared" si="27"/>
        <v>-1.9121832797911343E-2</v>
      </c>
      <c r="P25" s="192">
        <f t="shared" ref="P25" si="28">P19*P39</f>
        <v>-9.6377307739303007E-3</v>
      </c>
    </row>
    <row r="26" spans="2:25" s="10" customFormat="1" ht="14.3" thickBot="1">
      <c r="B26" s="390"/>
      <c r="C26" s="387"/>
      <c r="D26" s="80">
        <f>$D$16</f>
        <v>45946</v>
      </c>
      <c r="E26" s="193"/>
      <c r="F26" s="193"/>
      <c r="G26" s="193"/>
      <c r="H26" s="193"/>
      <c r="I26" s="187">
        <f>I20*I39</f>
        <v>0.10194184256596517</v>
      </c>
      <c r="J26" s="187">
        <f t="shared" ref="J26:O26" si="29">J20*J39</f>
        <v>4.858705956513059E-2</v>
      </c>
      <c r="K26" s="187">
        <f t="shared" si="29"/>
        <v>-8.1051635497289359E-2</v>
      </c>
      <c r="L26" s="187">
        <f t="shared" si="29"/>
        <v>-7.2065972128998179E-2</v>
      </c>
      <c r="M26" s="187">
        <f t="shared" si="29"/>
        <v>-5.861386043714184E-2</v>
      </c>
      <c r="N26" s="187">
        <f t="shared" si="29"/>
        <v>-1.9946650260573955E-2</v>
      </c>
      <c r="O26" s="333">
        <f t="shared" si="29"/>
        <v>-2.4167812018391174E-2</v>
      </c>
      <c r="P26" s="188">
        <f t="shared" ref="P26" si="30">P20*P39</f>
        <v>-9.1255493073708078E-3</v>
      </c>
    </row>
    <row r="27" spans="2:25" ht="14.3" thickBot="1">
      <c r="B27" s="392" t="s">
        <v>318</v>
      </c>
      <c r="C27" s="387" t="s">
        <v>80</v>
      </c>
      <c r="D27" s="80">
        <f>$D$7</f>
        <v>45915</v>
      </c>
      <c r="E27" s="193">
        <f>E7/E11*100</f>
        <v>87.177065461264348</v>
      </c>
      <c r="F27" s="193">
        <f t="shared" ref="F27:J28" si="31">F7/F11*100</f>
        <v>90.309525962207488</v>
      </c>
      <c r="G27" s="193">
        <f t="shared" si="31"/>
        <v>92.454612196921758</v>
      </c>
      <c r="H27" s="193">
        <f t="shared" si="31"/>
        <v>94.339757209029955</v>
      </c>
      <c r="I27" s="193">
        <f>I7/I11*100</f>
        <v>100</v>
      </c>
      <c r="J27" s="193">
        <f t="shared" si="31"/>
        <v>116.0666507220667</v>
      </c>
      <c r="K27" s="193">
        <f>K7/K11*100</f>
        <v>126.53802427092069</v>
      </c>
      <c r="L27" s="193">
        <f t="shared" ref="L27:N27" si="32">L7/L11*100</f>
        <v>130.8275644587269</v>
      </c>
      <c r="M27" s="193">
        <f>M7/M11*100</f>
        <v>135.68263247218556</v>
      </c>
      <c r="N27" s="193">
        <f t="shared" si="32"/>
        <v>140.18505082681111</v>
      </c>
      <c r="O27" s="335">
        <f>O7/O11*100</f>
        <v>143.91385465356831</v>
      </c>
      <c r="P27" s="194">
        <f t="shared" ref="P27" si="33">P7/P11*100</f>
        <v>147.67285163268727</v>
      </c>
    </row>
    <row r="28" spans="2:25" ht="14.3" thickBot="1">
      <c r="B28" s="393"/>
      <c r="C28" s="387"/>
      <c r="D28" s="80">
        <f>$D$8</f>
        <v>45915</v>
      </c>
      <c r="E28" s="193">
        <f>E8/E12*100</f>
        <v>87.177065461264348</v>
      </c>
      <c r="F28" s="193">
        <f t="shared" si="31"/>
        <v>90.309525962207488</v>
      </c>
      <c r="G28" s="193">
        <f t="shared" si="31"/>
        <v>92.454612196921758</v>
      </c>
      <c r="H28" s="193">
        <f t="shared" si="31"/>
        <v>94.339757209029955</v>
      </c>
      <c r="I28" s="193">
        <f t="shared" si="31"/>
        <v>100</v>
      </c>
      <c r="J28" s="193">
        <f t="shared" si="31"/>
        <v>116.0666507220667</v>
      </c>
      <c r="K28" s="193">
        <f>K8/K12*100</f>
        <v>126.53802427092069</v>
      </c>
      <c r="L28" s="193">
        <f t="shared" ref="L28:O28" si="34">L8/L12*100</f>
        <v>130.8275644587269</v>
      </c>
      <c r="M28" s="193">
        <f t="shared" si="34"/>
        <v>135.68263247218556</v>
      </c>
      <c r="N28" s="193">
        <f t="shared" si="34"/>
        <v>140.18505082681111</v>
      </c>
      <c r="O28" s="335">
        <f t="shared" si="34"/>
        <v>143.91385465356831</v>
      </c>
      <c r="P28" s="194">
        <f t="shared" ref="P28" si="35">P8/P12*100</f>
        <v>147.67285163268727</v>
      </c>
    </row>
    <row r="29" spans="2:25" ht="14.3" thickBot="1">
      <c r="B29" s="392" t="s">
        <v>81</v>
      </c>
      <c r="C29" s="387" t="s">
        <v>82</v>
      </c>
      <c r="D29" s="80">
        <f>$D$7</f>
        <v>45915</v>
      </c>
      <c r="E29" s="193"/>
      <c r="F29" s="193">
        <f>(F27/E27-1)*100</f>
        <v>3.5932162712393634</v>
      </c>
      <c r="G29" s="193">
        <f t="shared" ref="G29:J30" si="36">(G27/F27-1)*100</f>
        <v>2.3752602085542307</v>
      </c>
      <c r="H29" s="193">
        <f t="shared" si="36"/>
        <v>2.0389950996635653</v>
      </c>
      <c r="I29" s="193">
        <f t="shared" si="36"/>
        <v>5.9998488001496098</v>
      </c>
      <c r="J29" s="193">
        <f t="shared" si="36"/>
        <v>16.066650722066701</v>
      </c>
      <c r="K29" s="193">
        <f>(K27/J27-1)*100</f>
        <v>9.0218624244863932</v>
      </c>
      <c r="L29" s="193">
        <f t="shared" ref="L29:N29" si="37">(L27/K27-1)*100</f>
        <v>3.3899218930605546</v>
      </c>
      <c r="M29" s="193">
        <f>(M27/L27-1)*100</f>
        <v>3.7110436424812709</v>
      </c>
      <c r="N29" s="193">
        <f t="shared" si="37"/>
        <v>3.318345371540854</v>
      </c>
      <c r="O29" s="335">
        <f>(O27/N27-1)*100</f>
        <v>2.6599154508734957</v>
      </c>
      <c r="P29" s="194">
        <f>(P27/O27-1)*100</f>
        <v>2.6119771360218813</v>
      </c>
    </row>
    <row r="30" spans="2:25" ht="14.3" thickBot="1">
      <c r="B30" s="393"/>
      <c r="C30" s="387"/>
      <c r="D30" s="80">
        <f>$D$8</f>
        <v>45915</v>
      </c>
      <c r="E30" s="193"/>
      <c r="F30" s="193">
        <f>(F28/E28-1)*100</f>
        <v>3.5932162712393634</v>
      </c>
      <c r="G30" s="193">
        <f t="shared" ref="G30:H30" si="38">(G28/F28-1)*100</f>
        <v>2.3752602085542307</v>
      </c>
      <c r="H30" s="193">
        <f t="shared" si="38"/>
        <v>2.0389950996635653</v>
      </c>
      <c r="I30" s="193">
        <f t="shared" si="36"/>
        <v>5.9998488001496098</v>
      </c>
      <c r="J30" s="193">
        <f>(J28/I28-1)*100</f>
        <v>16.066650722066701</v>
      </c>
      <c r="K30" s="193">
        <f>(K28/J28-1)*100</f>
        <v>9.0218624244863932</v>
      </c>
      <c r="L30" s="193">
        <f t="shared" ref="L30:N30" si="39">(L28/K28-1)*100</f>
        <v>3.3899218930605546</v>
      </c>
      <c r="M30" s="193">
        <f t="shared" si="39"/>
        <v>3.7110436424812709</v>
      </c>
      <c r="N30" s="193">
        <f t="shared" si="39"/>
        <v>3.318345371540854</v>
      </c>
      <c r="O30" s="335">
        <f>(O28/N28-1)*100</f>
        <v>2.6599154508734957</v>
      </c>
      <c r="P30" s="194">
        <f>(P28/O28-1)*100</f>
        <v>2.6119771360218813</v>
      </c>
    </row>
    <row r="31" spans="2:25" ht="27.85" thickBot="1">
      <c r="B31" s="88" t="s">
        <v>83</v>
      </c>
      <c r="C31" s="81" t="s">
        <v>84</v>
      </c>
      <c r="D31" s="80">
        <f>D21</f>
        <v>45946</v>
      </c>
      <c r="E31" s="186">
        <v>13169.374699999998</v>
      </c>
      <c r="F31" s="186">
        <v>13630.198900000001</v>
      </c>
      <c r="G31" s="186">
        <v>14124.312900000001</v>
      </c>
      <c r="H31" s="186">
        <v>13580.111000000001</v>
      </c>
      <c r="I31" s="186">
        <v>14793.6131</v>
      </c>
      <c r="J31" s="186">
        <v>16171.115599999999</v>
      </c>
      <c r="K31" s="186">
        <v>17235.040699999998</v>
      </c>
      <c r="L31" s="311">
        <v>17980.744699999999</v>
      </c>
      <c r="M31" s="195"/>
      <c r="N31" s="195"/>
      <c r="O31" s="336"/>
      <c r="P31" s="196"/>
      <c r="S31" s="250"/>
      <c r="T31" s="251"/>
      <c r="U31" s="250"/>
      <c r="V31" s="250"/>
      <c r="W31" s="250"/>
      <c r="X31" s="250"/>
      <c r="Y31" s="250"/>
    </row>
    <row r="32" spans="2:25" ht="29.25" customHeight="1" thickBot="1">
      <c r="B32" s="88" t="s">
        <v>85</v>
      </c>
      <c r="C32" s="81" t="s">
        <v>86</v>
      </c>
      <c r="D32" s="80">
        <f>$D$31</f>
        <v>45946</v>
      </c>
      <c r="E32" s="189"/>
      <c r="F32" s="189">
        <f>(F31/E31-1)*100</f>
        <v>3.4992109382384173</v>
      </c>
      <c r="G32" s="189">
        <f t="shared" ref="G32:H32" si="40">(G31/F31-1)*100</f>
        <v>3.6251415230631689</v>
      </c>
      <c r="H32" s="189">
        <f t="shared" si="40"/>
        <v>-3.8529442377335021</v>
      </c>
      <c r="I32" s="189">
        <f>(I31/H31-1)*100</f>
        <v>8.9358776227970402</v>
      </c>
      <c r="J32" s="189">
        <f>(J31/I31-1)*100</f>
        <v>9.3114676630281714</v>
      </c>
      <c r="K32" s="189">
        <f>(K31/J31-1)*100</f>
        <v>6.5791694668239087</v>
      </c>
      <c r="L32" s="189">
        <f>(L31/K31-1)*100</f>
        <v>4.3266738557803386</v>
      </c>
      <c r="M32" s="195"/>
      <c r="N32" s="195"/>
      <c r="O32" s="336"/>
      <c r="P32" s="196"/>
    </row>
    <row r="33" spans="1:16" s="12" customFormat="1" ht="14.3" thickBot="1">
      <c r="B33" s="390" t="s">
        <v>87</v>
      </c>
      <c r="C33" s="387" t="s">
        <v>88</v>
      </c>
      <c r="D33" s="80">
        <f>D31</f>
        <v>45946</v>
      </c>
      <c r="E33" s="186">
        <v>152.23099999999999</v>
      </c>
      <c r="F33" s="186">
        <v>240</v>
      </c>
      <c r="G33" s="186">
        <v>202.8</v>
      </c>
      <c r="H33" s="186">
        <v>-3225.1</v>
      </c>
      <c r="I33" s="186">
        <v>-652.1</v>
      </c>
      <c r="J33" s="186">
        <v>-481.6</v>
      </c>
      <c r="K33" s="186">
        <v>-493.2</v>
      </c>
      <c r="L33" s="311">
        <v>-1012.1</v>
      </c>
      <c r="M33" s="195"/>
      <c r="N33" s="195"/>
      <c r="O33" s="336"/>
      <c r="P33" s="196"/>
    </row>
    <row r="34" spans="1:16" s="12" customFormat="1" ht="14.3" thickBot="1">
      <c r="B34" s="391"/>
      <c r="C34" s="387"/>
      <c r="D34" s="80">
        <f>D33</f>
        <v>45946</v>
      </c>
      <c r="E34" s="186">
        <f>E33</f>
        <v>152.23099999999999</v>
      </c>
      <c r="F34" s="186">
        <f t="shared" ref="F34:L34" si="41">F33</f>
        <v>240</v>
      </c>
      <c r="G34" s="186">
        <f t="shared" si="41"/>
        <v>202.8</v>
      </c>
      <c r="H34" s="186">
        <f t="shared" si="41"/>
        <v>-3225.1</v>
      </c>
      <c r="I34" s="186">
        <f t="shared" si="41"/>
        <v>-652.1</v>
      </c>
      <c r="J34" s="186">
        <f t="shared" si="41"/>
        <v>-481.6</v>
      </c>
      <c r="K34" s="186">
        <f t="shared" si="41"/>
        <v>-493.2</v>
      </c>
      <c r="L34" s="186">
        <f t="shared" si="41"/>
        <v>-1012.1</v>
      </c>
      <c r="M34" s="195"/>
      <c r="N34" s="195"/>
      <c r="O34" s="336"/>
      <c r="P34" s="196"/>
    </row>
    <row r="35" spans="1:16" ht="14.3" thickBot="1">
      <c r="B35" s="392" t="s">
        <v>89</v>
      </c>
      <c r="C35" s="387" t="s">
        <v>90</v>
      </c>
      <c r="D35" s="80">
        <f>+D33</f>
        <v>45946</v>
      </c>
      <c r="E35" s="193">
        <f t="shared" ref="E35:J36" si="42">E33/E7*100</f>
        <v>0.36010039125148435</v>
      </c>
      <c r="F35" s="193">
        <f t="shared" si="42"/>
        <v>0.52233527395396917</v>
      </c>
      <c r="G35" s="193">
        <f>G33/G7*100</f>
        <v>0.41186696778176746</v>
      </c>
      <c r="H35" s="193">
        <f t="shared" si="42"/>
        <v>-6.4162452302415618</v>
      </c>
      <c r="I35" s="193">
        <f t="shared" si="42"/>
        <v>-1.1505000908614549</v>
      </c>
      <c r="J35" s="193">
        <f t="shared" si="42"/>
        <v>-0.71395216105432469</v>
      </c>
      <c r="K35" s="193">
        <f>K33/K7*100</f>
        <v>-0.66835788857449507</v>
      </c>
      <c r="L35" s="193">
        <f>L33/L7*100</f>
        <v>-1.2907825297348035</v>
      </c>
      <c r="M35" s="195"/>
      <c r="N35" s="195"/>
      <c r="O35" s="336"/>
      <c r="P35" s="196"/>
    </row>
    <row r="36" spans="1:16" ht="14.3" thickBot="1">
      <c r="B36" s="393"/>
      <c r="C36" s="387"/>
      <c r="D36" s="80">
        <f>D34</f>
        <v>45946</v>
      </c>
      <c r="E36" s="193">
        <f t="shared" si="42"/>
        <v>0.36010039125148435</v>
      </c>
      <c r="F36" s="193">
        <f t="shared" si="42"/>
        <v>0.52233527395396917</v>
      </c>
      <c r="G36" s="193">
        <f t="shared" si="42"/>
        <v>0.41186696778176746</v>
      </c>
      <c r="H36" s="193">
        <f t="shared" si="42"/>
        <v>-6.4162452302415618</v>
      </c>
      <c r="I36" s="193">
        <f t="shared" si="42"/>
        <v>-1.1505000908614549</v>
      </c>
      <c r="J36" s="193">
        <f t="shared" si="42"/>
        <v>-0.71395216105432469</v>
      </c>
      <c r="K36" s="193">
        <f>K34/K8*100</f>
        <v>-0.66835788857449507</v>
      </c>
      <c r="L36" s="193">
        <f>L34/L8*100</f>
        <v>-1.2907825297348035</v>
      </c>
      <c r="M36" s="195"/>
      <c r="N36" s="195"/>
      <c r="O36" s="336"/>
      <c r="P36" s="196"/>
    </row>
    <row r="37" spans="1:16" ht="36.700000000000003" customHeight="1" thickBot="1">
      <c r="B37" s="88" t="s">
        <v>91</v>
      </c>
      <c r="C37" s="82" t="s">
        <v>92</v>
      </c>
      <c r="D37" s="80">
        <v>44489</v>
      </c>
      <c r="E37" s="198">
        <v>0.39900000000000002</v>
      </c>
      <c r="F37" s="198">
        <v>0.39900000000000002</v>
      </c>
      <c r="G37" s="198">
        <v>0.39900000000000002</v>
      </c>
      <c r="H37" s="198">
        <v>0.39900000000000002</v>
      </c>
      <c r="I37" s="198">
        <v>0.39900000000000002</v>
      </c>
      <c r="J37" s="198">
        <v>0.39900000000000002</v>
      </c>
      <c r="K37" s="198">
        <v>0.39900000000000002</v>
      </c>
      <c r="L37" s="198">
        <v>0.39900000000000002</v>
      </c>
      <c r="M37" s="198">
        <v>0.39900000000000002</v>
      </c>
      <c r="N37" s="198">
        <v>0.39900000000000002</v>
      </c>
      <c r="O37" s="337">
        <v>0.39900000000000002</v>
      </c>
      <c r="P37" s="199">
        <v>0.39900000000000002</v>
      </c>
    </row>
    <row r="38" spans="1:16" ht="36.700000000000003" customHeight="1" thickBot="1">
      <c r="A38" s="289"/>
      <c r="B38" s="88" t="s">
        <v>93</v>
      </c>
      <c r="C38" s="82" t="s">
        <v>94</v>
      </c>
      <c r="D38" s="80">
        <f>D26</f>
        <v>45946</v>
      </c>
      <c r="E38" s="197"/>
      <c r="F38" s="197"/>
      <c r="G38" s="197"/>
      <c r="H38" s="187">
        <v>0.1045</v>
      </c>
      <c r="I38" s="187">
        <v>0.10100000000000001</v>
      </c>
      <c r="J38" s="187">
        <v>8.7999999999999995E-2</v>
      </c>
      <c r="K38" s="187">
        <v>9.1999999999999998E-2</v>
      </c>
      <c r="L38" s="187">
        <v>9.1103506854353061E-2</v>
      </c>
      <c r="M38" s="195">
        <v>9.1198413582874102E-2</v>
      </c>
      <c r="N38" s="195">
        <v>9.1195717213636854E-2</v>
      </c>
      <c r="O38" s="336">
        <v>9.1195257955484416E-2</v>
      </c>
      <c r="P38" s="196">
        <v>9.1218551985540769E-2</v>
      </c>
    </row>
    <row r="39" spans="1:16" ht="36.700000000000003" customHeight="1" thickBot="1">
      <c r="B39" s="91" t="s">
        <v>95</v>
      </c>
      <c r="C39" s="97" t="s">
        <v>96</v>
      </c>
      <c r="D39" s="98">
        <f>D26</f>
        <v>45946</v>
      </c>
      <c r="E39" s="200"/>
      <c r="F39" s="200"/>
      <c r="G39" s="200"/>
      <c r="H39" s="201">
        <v>4.4999999999999998E-2</v>
      </c>
      <c r="I39" s="201">
        <v>4.4999999999999998E-2</v>
      </c>
      <c r="J39" s="201">
        <v>4.2000000000000003E-2</v>
      </c>
      <c r="K39" s="201">
        <v>4.5999999999999999E-2</v>
      </c>
      <c r="L39" s="201">
        <v>4.7761278711520451E-2</v>
      </c>
      <c r="M39" s="202">
        <v>4.7536745538925222E-2</v>
      </c>
      <c r="N39" s="202">
        <v>4.7534891384576825E-2</v>
      </c>
      <c r="O39" s="338">
        <v>4.7535806743519635E-2</v>
      </c>
      <c r="P39" s="203">
        <v>4.7545431625057449E-2</v>
      </c>
    </row>
    <row r="40" spans="1:16" ht="14.3" thickTop="1">
      <c r="B40" s="14"/>
      <c r="C40" s="14"/>
      <c r="D40" s="14"/>
    </row>
    <row r="41" spans="1:16" ht="14.3" thickBot="1">
      <c r="C41" s="6" t="s">
        <v>43</v>
      </c>
      <c r="E41" s="389" t="s">
        <v>44</v>
      </c>
      <c r="F41" s="389"/>
      <c r="G41" s="389"/>
      <c r="H41" s="389"/>
      <c r="I41" s="389"/>
      <c r="L41" s="49"/>
    </row>
    <row r="42" spans="1:16" ht="14.95" thickTop="1" thickBot="1">
      <c r="C42" s="6" t="s">
        <v>304</v>
      </c>
      <c r="D42" s="172"/>
      <c r="E42" s="389" t="s">
        <v>306</v>
      </c>
      <c r="F42" s="389"/>
      <c r="G42" s="389"/>
      <c r="H42" s="389"/>
      <c r="I42" s="389"/>
      <c r="J42" s="11"/>
      <c r="K42" s="11"/>
    </row>
    <row r="43" spans="1:16" ht="14.3" thickBot="1">
      <c r="B43" s="6" t="s">
        <v>336</v>
      </c>
      <c r="C43" s="6" t="s">
        <v>97</v>
      </c>
      <c r="D43" s="171"/>
      <c r="E43" s="388" t="s">
        <v>337</v>
      </c>
      <c r="F43" s="389"/>
      <c r="G43" s="389"/>
      <c r="H43" s="389"/>
      <c r="I43" s="389"/>
      <c r="J43" s="389"/>
      <c r="K43" s="11"/>
    </row>
    <row r="44" spans="1:16" ht="14.95" customHeight="1" thickBot="1">
      <c r="B44" s="6"/>
      <c r="C44" s="6" t="s">
        <v>98</v>
      </c>
      <c r="D44" s="111"/>
      <c r="E44" s="394" t="s">
        <v>307</v>
      </c>
      <c r="F44" s="394"/>
      <c r="G44" s="394"/>
      <c r="H44" s="394"/>
      <c r="I44" s="394"/>
      <c r="J44" s="394"/>
      <c r="K44" s="394"/>
    </row>
    <row r="45" spans="1:16" ht="14.95" thickTop="1" thickBot="1">
      <c r="C45" s="6" t="s">
        <v>99</v>
      </c>
      <c r="E45" s="389" t="s">
        <v>305</v>
      </c>
      <c r="F45" s="389"/>
      <c r="G45" s="389"/>
      <c r="H45" s="389"/>
      <c r="I45" s="389"/>
    </row>
    <row r="46" spans="1:16" ht="15.65" thickTop="1" thickBot="1">
      <c r="C46" s="15" t="s">
        <v>100</v>
      </c>
      <c r="D46" s="100"/>
      <c r="E46" s="407" t="s">
        <v>101</v>
      </c>
      <c r="F46" s="408"/>
      <c r="G46" s="408"/>
      <c r="H46" s="408"/>
      <c r="I46" s="408"/>
      <c r="J46" s="408"/>
      <c r="K46" s="408"/>
    </row>
    <row r="47" spans="1:16" ht="14.3" thickTop="1">
      <c r="C47" s="16" t="s">
        <v>102</v>
      </c>
      <c r="D47" s="17">
        <v>4.9999999999999899E-2</v>
      </c>
    </row>
    <row r="50" spans="9:15">
      <c r="I50" s="18"/>
      <c r="J50" s="18"/>
    </row>
    <row r="51" spans="9:15">
      <c r="I51" s="18"/>
      <c r="J51" s="18"/>
    </row>
    <row r="52" spans="9:15">
      <c r="I52" s="18"/>
      <c r="J52" s="18"/>
      <c r="O52" s="50"/>
    </row>
    <row r="53" spans="9:15">
      <c r="I53" s="18"/>
      <c r="J53" s="18"/>
      <c r="O53" s="50"/>
    </row>
    <row r="54" spans="9:15">
      <c r="I54" s="18"/>
      <c r="J54" s="18"/>
      <c r="O54" s="50"/>
    </row>
    <row r="55" spans="9:15">
      <c r="I55" s="18"/>
      <c r="J55" s="18"/>
      <c r="O55" s="50"/>
    </row>
    <row r="56" spans="9:15">
      <c r="I56" s="18"/>
      <c r="J56" s="18"/>
      <c r="O56" s="50"/>
    </row>
    <row r="57" spans="9:15">
      <c r="I57" s="18"/>
      <c r="J57" s="18"/>
      <c r="O57" s="50"/>
    </row>
    <row r="58" spans="9:15">
      <c r="I58" s="18"/>
      <c r="J58" s="18"/>
      <c r="O58" s="50"/>
    </row>
    <row r="59" spans="9:15">
      <c r="I59" s="18"/>
      <c r="J59" s="18"/>
      <c r="O59" s="50"/>
    </row>
    <row r="60" spans="9:15">
      <c r="I60" s="18"/>
      <c r="J60" s="18"/>
      <c r="O60" s="50"/>
    </row>
    <row r="61" spans="9:15">
      <c r="I61" s="18"/>
      <c r="J61" s="18"/>
      <c r="L61" s="50"/>
    </row>
  </sheetData>
  <mergeCells count="40">
    <mergeCell ref="B3:P3"/>
    <mergeCell ref="E4:L4"/>
    <mergeCell ref="M4:P4"/>
    <mergeCell ref="E46:K46"/>
    <mergeCell ref="E45:I45"/>
    <mergeCell ref="B13:B14"/>
    <mergeCell ref="C13:C14"/>
    <mergeCell ref="B23:B24"/>
    <mergeCell ref="C23:C24"/>
    <mergeCell ref="B25:B26"/>
    <mergeCell ref="C25:C26"/>
    <mergeCell ref="B19:B20"/>
    <mergeCell ref="C19:C20"/>
    <mergeCell ref="B21:B22"/>
    <mergeCell ref="C21:C22"/>
    <mergeCell ref="B27:B28"/>
    <mergeCell ref="E44:K44"/>
    <mergeCell ref="E41:I41"/>
    <mergeCell ref="B4:B5"/>
    <mergeCell ref="B9:B10"/>
    <mergeCell ref="C9:C10"/>
    <mergeCell ref="D4:D5"/>
    <mergeCell ref="B7:B8"/>
    <mergeCell ref="C7:C8"/>
    <mergeCell ref="B15:B16"/>
    <mergeCell ref="C15:C16"/>
    <mergeCell ref="B17:B18"/>
    <mergeCell ref="C17:C18"/>
    <mergeCell ref="B11:B12"/>
    <mergeCell ref="C11:C12"/>
    <mergeCell ref="B35:B36"/>
    <mergeCell ref="C35:C36"/>
    <mergeCell ref="C27:C28"/>
    <mergeCell ref="C4:C5"/>
    <mergeCell ref="E43:J43"/>
    <mergeCell ref="C29:C30"/>
    <mergeCell ref="B33:B34"/>
    <mergeCell ref="C33:C34"/>
    <mergeCell ref="E42:I42"/>
    <mergeCell ref="B29:B30"/>
  </mergeCells>
  <phoneticPr fontId="64" type="noConversion"/>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7"/>
  </sheetPr>
  <dimension ref="A1:M42"/>
  <sheetViews>
    <sheetView showGridLines="0" showRowColHeaders="0" zoomScaleNormal="100" workbookViewId="0"/>
  </sheetViews>
  <sheetFormatPr defaultColWidth="10" defaultRowHeight="13.6"/>
  <cols>
    <col min="1" max="1" width="4.125" style="1" customWidth="1"/>
    <col min="2" max="2" width="69" style="1" customWidth="1"/>
    <col min="3" max="3" width="24.375" style="1" customWidth="1"/>
    <col min="4" max="4" width="15.875" style="1" customWidth="1"/>
    <col min="5" max="5" width="11.375" style="1" customWidth="1"/>
    <col min="6" max="8" width="11.5" style="1" customWidth="1"/>
    <col min="9" max="16384" width="10" style="1"/>
  </cols>
  <sheetData>
    <row r="1" spans="1:11">
      <c r="B1" s="73" t="s">
        <v>19</v>
      </c>
      <c r="C1" s="3"/>
      <c r="D1" s="3"/>
      <c r="E1" s="3"/>
      <c r="F1" s="327"/>
      <c r="G1" s="3"/>
      <c r="H1" s="3"/>
    </row>
    <row r="2" spans="1:11" ht="14.3" thickBot="1">
      <c r="A2" s="8"/>
    </row>
    <row r="3" spans="1:11" ht="34.15" customHeight="1" thickTop="1" thickBot="1">
      <c r="B3" s="415" t="s">
        <v>103</v>
      </c>
      <c r="C3" s="416"/>
      <c r="D3" s="169"/>
      <c r="E3" s="169"/>
      <c r="F3" s="169"/>
      <c r="G3" s="169"/>
      <c r="H3" s="170"/>
    </row>
    <row r="4" spans="1:11" ht="21.75" customHeight="1" thickBot="1">
      <c r="B4" s="395" t="s">
        <v>50</v>
      </c>
      <c r="C4" s="370" t="s">
        <v>104</v>
      </c>
      <c r="D4" s="370" t="s">
        <v>105</v>
      </c>
      <c r="E4" s="418" t="s">
        <v>23</v>
      </c>
      <c r="F4" s="418"/>
      <c r="G4" s="410" t="s">
        <v>24</v>
      </c>
      <c r="H4" s="411"/>
    </row>
    <row r="5" spans="1:11" ht="14.3" thickBot="1">
      <c r="B5" s="417"/>
      <c r="C5" s="370"/>
      <c r="D5" s="370"/>
      <c r="E5" s="86">
        <v>2025</v>
      </c>
      <c r="F5" s="86">
        <v>2026</v>
      </c>
      <c r="G5" s="112">
        <f>E5</f>
        <v>2025</v>
      </c>
      <c r="H5" s="113">
        <f>F5</f>
        <v>2026</v>
      </c>
    </row>
    <row r="6" spans="1:11" ht="27.85" thickBot="1">
      <c r="B6" s="88" t="s">
        <v>106</v>
      </c>
      <c r="C6" s="83"/>
      <c r="D6" s="77" t="s">
        <v>107</v>
      </c>
      <c r="E6" s="84">
        <f>'2. Macro'!M8</f>
        <v>83464.899999999994</v>
      </c>
      <c r="F6" s="84">
        <f>'2. Macro'!N8</f>
        <v>89072.6</v>
      </c>
      <c r="G6" s="84">
        <f>E6</f>
        <v>83464.899999999994</v>
      </c>
      <c r="H6" s="84">
        <f>F6</f>
        <v>89072.6</v>
      </c>
    </row>
    <row r="7" spans="1:11" s="10" customFormat="1" ht="14.3" thickBot="1">
      <c r="B7" s="390" t="s">
        <v>108</v>
      </c>
      <c r="C7" s="412" t="s">
        <v>109</v>
      </c>
      <c r="D7" s="78" t="s">
        <v>107</v>
      </c>
      <c r="E7" s="84">
        <f>32836.3-34683.4</f>
        <v>-1847.0999999999985</v>
      </c>
      <c r="F7" s="300">
        <f>35758.5-38120.1</f>
        <v>-2361.5999999999985</v>
      </c>
      <c r="G7" s="300">
        <f>G13-G15</f>
        <v>-1821.623514156774</v>
      </c>
      <c r="H7" s="300">
        <f>H13-H15</f>
        <v>-2333.9449454483256</v>
      </c>
      <c r="J7" s="52"/>
      <c r="K7" s="52"/>
    </row>
    <row r="8" spans="1:11" s="10" customFormat="1" ht="14.3" thickBot="1">
      <c r="B8" s="390"/>
      <c r="C8" s="412"/>
      <c r="D8" s="78" t="s">
        <v>110</v>
      </c>
      <c r="E8" s="84">
        <f>E7/$E$6*100</f>
        <v>-2.2130260744336825</v>
      </c>
      <c r="F8" s="84">
        <f>F7/$F$6*100</f>
        <v>-2.6513203835971986</v>
      </c>
      <c r="G8" s="300">
        <f>G7/G6*100</f>
        <v>-2.1825024820694381</v>
      </c>
      <c r="H8" s="300">
        <f>H7/H6*100</f>
        <v>-2.6202726152018978</v>
      </c>
    </row>
    <row r="9" spans="1:11" s="10" customFormat="1" ht="14.3" thickBot="1">
      <c r="B9" s="413" t="s">
        <v>111</v>
      </c>
      <c r="C9" s="412" t="s">
        <v>112</v>
      </c>
      <c r="D9" s="78" t="s">
        <v>107</v>
      </c>
      <c r="E9" s="168">
        <v>1012.260000000002</v>
      </c>
      <c r="F9" s="168">
        <v>1512.4580000000005</v>
      </c>
      <c r="G9" s="298">
        <v>1012.260000000002</v>
      </c>
      <c r="H9" s="299">
        <v>1512.4580000000005</v>
      </c>
    </row>
    <row r="10" spans="1:11" s="10" customFormat="1" ht="14.3" thickBot="1">
      <c r="B10" s="413"/>
      <c r="C10" s="412"/>
      <c r="D10" s="78" t="s">
        <v>110</v>
      </c>
      <c r="E10" s="84">
        <f>E9/$E$6*100</f>
        <v>1.2127972357242411</v>
      </c>
      <c r="F10" s="84">
        <f>F9/$F$6*100</f>
        <v>1.6980058963137941</v>
      </c>
      <c r="G10" s="84">
        <f>G9/$G$6*100</f>
        <v>1.2127972357242411</v>
      </c>
      <c r="H10" s="89">
        <f>H9/$H$6*100</f>
        <v>1.6980058963137941</v>
      </c>
      <c r="I10" s="19"/>
    </row>
    <row r="11" spans="1:11" s="10" customFormat="1" ht="14.3" thickBot="1">
      <c r="B11" s="413" t="s">
        <v>113</v>
      </c>
      <c r="C11" s="412" t="s">
        <v>114</v>
      </c>
      <c r="D11" s="78" t="s">
        <v>107</v>
      </c>
      <c r="E11" s="168">
        <v>-69.375</v>
      </c>
      <c r="F11" s="168">
        <v>0</v>
      </c>
      <c r="G11" s="298">
        <v>-69.375</v>
      </c>
      <c r="H11" s="299">
        <v>-17.766999999999999</v>
      </c>
      <c r="I11" s="19"/>
    </row>
    <row r="12" spans="1:11" s="10" customFormat="1" ht="14.3" thickBot="1">
      <c r="B12" s="413"/>
      <c r="C12" s="412"/>
      <c r="D12" s="78" t="s">
        <v>110</v>
      </c>
      <c r="E12" s="84">
        <f>E11/E6*100</f>
        <v>-8.3118772082635933E-2</v>
      </c>
      <c r="F12" s="84">
        <f>F11/F6*100</f>
        <v>0</v>
      </c>
      <c r="G12" s="84">
        <f>G11/G6*100</f>
        <v>-8.3118772082635933E-2</v>
      </c>
      <c r="H12" s="89">
        <f>H11/H6*100</f>
        <v>-1.9946650260573955E-2</v>
      </c>
    </row>
    <row r="13" spans="1:11" s="10" customFormat="1" ht="14.3" thickBot="1">
      <c r="B13" s="390" t="s">
        <v>115</v>
      </c>
      <c r="C13" s="387" t="s">
        <v>116</v>
      </c>
      <c r="D13" s="78" t="s">
        <v>107</v>
      </c>
      <c r="E13" s="340">
        <v>32836.300000000003</v>
      </c>
      <c r="F13" s="340">
        <v>35758.5</v>
      </c>
      <c r="G13" s="300">
        <v>32626.830085359703</v>
      </c>
      <c r="H13" s="302">
        <v>35637.374208398986</v>
      </c>
    </row>
    <row r="14" spans="1:11" s="10" customFormat="1" ht="14.3" thickBot="1">
      <c r="B14" s="391"/>
      <c r="C14" s="387"/>
      <c r="D14" s="78" t="s">
        <v>110</v>
      </c>
      <c r="E14" s="84">
        <f>E13/$E$6*100</f>
        <v>39.341447722335978</v>
      </c>
      <c r="F14" s="84">
        <f>F13/$F$6*100</f>
        <v>40.145342114185503</v>
      </c>
      <c r="G14" s="84">
        <f>G13/$G$6*100</f>
        <v>39.090480052524718</v>
      </c>
      <c r="H14" s="89">
        <f>H13/$H$6*100</f>
        <v>40.0093566465995</v>
      </c>
    </row>
    <row r="15" spans="1:11" s="10" customFormat="1" ht="14.3" thickBot="1">
      <c r="B15" s="390" t="s">
        <v>117</v>
      </c>
      <c r="C15" s="387" t="s">
        <v>118</v>
      </c>
      <c r="D15" s="78" t="s">
        <v>107</v>
      </c>
      <c r="E15" s="340">
        <v>34683.4</v>
      </c>
      <c r="F15" s="340">
        <v>38120.1</v>
      </c>
      <c r="G15" s="300">
        <v>34448.453599516477</v>
      </c>
      <c r="H15" s="302">
        <v>37971.319153847311</v>
      </c>
      <c r="I15" s="52"/>
    </row>
    <row r="16" spans="1:11" s="10" customFormat="1" ht="14.3" thickBot="1">
      <c r="B16" s="391"/>
      <c r="C16" s="387"/>
      <c r="D16" s="78" t="s">
        <v>110</v>
      </c>
      <c r="E16" s="84">
        <f>E15/E6*100</f>
        <v>41.554473796769663</v>
      </c>
      <c r="F16" s="84">
        <f>F15/F6*100</f>
        <v>42.796662497782705</v>
      </c>
      <c r="G16" s="84">
        <f>G15/$G$6*100</f>
        <v>41.272982534594163</v>
      </c>
      <c r="H16" s="89">
        <f>H15/$H$6*100</f>
        <v>42.629629261801391</v>
      </c>
    </row>
    <row r="17" spans="2:11" s="10" customFormat="1" ht="14.3" thickBot="1">
      <c r="B17" s="413" t="s">
        <v>119</v>
      </c>
      <c r="C17" s="387" t="s">
        <v>120</v>
      </c>
      <c r="D17" s="78" t="s">
        <v>107</v>
      </c>
      <c r="E17" s="300">
        <v>18475.349199999997</v>
      </c>
      <c r="F17" s="301">
        <v>22346.720000000001</v>
      </c>
      <c r="G17" s="300">
        <f>E17</f>
        <v>18475.349199999997</v>
      </c>
      <c r="H17" s="302">
        <f>F17</f>
        <v>22346.720000000001</v>
      </c>
    </row>
    <row r="18" spans="2:11" s="10" customFormat="1" ht="14.3" thickBot="1">
      <c r="B18" s="413"/>
      <c r="C18" s="387"/>
      <c r="D18" s="78" t="s">
        <v>110</v>
      </c>
      <c r="E18" s="84">
        <f>E17/$E$6*100</f>
        <v>22.13547155750501</v>
      </c>
      <c r="F18" s="84">
        <f>F17/F6*100</f>
        <v>25.088208944164649</v>
      </c>
      <c r="G18" s="84">
        <f>G17/G6*100</f>
        <v>22.13547155750501</v>
      </c>
      <c r="H18" s="89">
        <f>H17/H6*100</f>
        <v>25.088208944164649</v>
      </c>
    </row>
    <row r="19" spans="2:11" s="10" customFormat="1" ht="14.3" thickBot="1">
      <c r="B19" s="413" t="s">
        <v>121</v>
      </c>
      <c r="C19" s="387" t="s">
        <v>122</v>
      </c>
      <c r="D19" s="78" t="s">
        <v>107</v>
      </c>
      <c r="E19" s="300">
        <v>11985.098</v>
      </c>
      <c r="F19" s="301">
        <v>13098.120999999999</v>
      </c>
      <c r="G19" s="300">
        <f>E19</f>
        <v>11985.098</v>
      </c>
      <c r="H19" s="302">
        <f>F19</f>
        <v>13098.120999999999</v>
      </c>
    </row>
    <row r="20" spans="2:11" s="10" customFormat="1" ht="14.3" thickBot="1">
      <c r="B20" s="414"/>
      <c r="C20" s="387"/>
      <c r="D20" s="78" t="s">
        <v>110</v>
      </c>
      <c r="E20" s="84">
        <f t="shared" ref="E20" si="0">E19/E6*100</f>
        <v>14.359446905226031</v>
      </c>
      <c r="F20" s="84">
        <f>F19/F6*100</f>
        <v>14.70499457745704</v>
      </c>
      <c r="G20" s="84">
        <f>G19/G6*100</f>
        <v>14.359446905226031</v>
      </c>
      <c r="H20" s="89">
        <f>H19/H6*100</f>
        <v>14.70499457745704</v>
      </c>
      <c r="J20" s="1"/>
      <c r="K20" s="1"/>
    </row>
    <row r="21" spans="2:11" s="10" customFormat="1" ht="14.3" thickBot="1">
      <c r="B21" s="390" t="s">
        <v>123</v>
      </c>
      <c r="C21" s="412" t="s">
        <v>124</v>
      </c>
      <c r="D21" s="78" t="s">
        <v>107</v>
      </c>
      <c r="E21" s="84">
        <f>E19+E17</f>
        <v>30460.447199999995</v>
      </c>
      <c r="F21" s="84">
        <f>F19+F17</f>
        <v>35444.841</v>
      </c>
      <c r="G21" s="84">
        <f>G19+G17</f>
        <v>30460.447199999995</v>
      </c>
      <c r="H21" s="89">
        <f>H17+H19</f>
        <v>35444.841</v>
      </c>
      <c r="J21" s="1"/>
      <c r="K21" s="1"/>
    </row>
    <row r="22" spans="2:11" s="10" customFormat="1" ht="16.5" customHeight="1" thickBot="1">
      <c r="B22" s="390"/>
      <c r="C22" s="412"/>
      <c r="D22" s="78" t="s">
        <v>110</v>
      </c>
      <c r="E22" s="84">
        <f>E21/E6*100</f>
        <v>36.494918462731036</v>
      </c>
      <c r="F22" s="84">
        <f>F21/F6*100</f>
        <v>39.793203521621685</v>
      </c>
      <c r="G22" s="84">
        <f>G21/$G$6*100</f>
        <v>36.494918462731036</v>
      </c>
      <c r="H22" s="89">
        <f>H21/$H$6*100</f>
        <v>39.793203521621685</v>
      </c>
      <c r="J22" s="1"/>
      <c r="K22" s="1"/>
    </row>
    <row r="23" spans="2:11" s="10" customFormat="1" ht="14.3" thickBot="1">
      <c r="B23" s="390" t="s">
        <v>125</v>
      </c>
      <c r="C23" s="387" t="s">
        <v>126</v>
      </c>
      <c r="D23" s="78" t="s">
        <v>107</v>
      </c>
      <c r="E23" s="166">
        <v>0.19999999999999973</v>
      </c>
      <c r="F23" s="166">
        <v>-0.99999999999999989</v>
      </c>
      <c r="G23" s="166">
        <v>0.19999999999999973</v>
      </c>
      <c r="H23" s="167">
        <v>-0.99999999999999989</v>
      </c>
      <c r="J23" s="1"/>
      <c r="K23" s="1"/>
    </row>
    <row r="24" spans="2:11" ht="14.3" thickBot="1">
      <c r="B24" s="391"/>
      <c r="C24" s="387"/>
      <c r="D24" s="78" t="s">
        <v>110</v>
      </c>
      <c r="E24" s="84">
        <f>E23/E6*100</f>
        <v>2.3962168528327446E-4</v>
      </c>
      <c r="F24" s="84">
        <f>F23/F6*100</f>
        <v>-1.1226797017264566E-3</v>
      </c>
      <c r="G24" s="84">
        <f>G23/G6*100</f>
        <v>2.3962168528327446E-4</v>
      </c>
      <c r="H24" s="89">
        <f>H23/H6*100</f>
        <v>-1.1226797017264566E-3</v>
      </c>
    </row>
    <row r="25" spans="2:11" ht="14.3" thickBot="1">
      <c r="B25" s="390" t="s">
        <v>127</v>
      </c>
      <c r="C25" s="387" t="s">
        <v>128</v>
      </c>
      <c r="D25" s="78" t="s">
        <v>107</v>
      </c>
      <c r="E25" s="166">
        <v>0</v>
      </c>
      <c r="F25" s="166">
        <v>0</v>
      </c>
      <c r="G25" s="166">
        <v>0</v>
      </c>
      <c r="H25" s="167">
        <v>0</v>
      </c>
    </row>
    <row r="26" spans="2:11" ht="14.3" thickBot="1">
      <c r="B26" s="391"/>
      <c r="C26" s="387"/>
      <c r="D26" s="78" t="s">
        <v>110</v>
      </c>
      <c r="E26" s="84">
        <f>E25/$E$6*100</f>
        <v>0</v>
      </c>
      <c r="F26" s="84">
        <f>F25/$F$6*100</f>
        <v>0</v>
      </c>
      <c r="G26" s="84">
        <f>G25/$G$6*100</f>
        <v>0</v>
      </c>
      <c r="H26" s="89">
        <f>H25/$H$6*100</f>
        <v>0</v>
      </c>
    </row>
    <row r="27" spans="2:11" ht="14.3" thickBot="1">
      <c r="B27" s="390" t="s">
        <v>129</v>
      </c>
      <c r="C27" s="387" t="s">
        <v>130</v>
      </c>
      <c r="D27" s="78" t="s">
        <v>107</v>
      </c>
      <c r="E27" s="166">
        <v>0</v>
      </c>
      <c r="F27" s="166">
        <v>0</v>
      </c>
      <c r="G27" s="166">
        <v>0</v>
      </c>
      <c r="H27" s="167">
        <v>0</v>
      </c>
    </row>
    <row r="28" spans="2:11" ht="14.3" thickBot="1">
      <c r="B28" s="391"/>
      <c r="C28" s="387"/>
      <c r="D28" s="78" t="s">
        <v>110</v>
      </c>
      <c r="E28" s="84">
        <f>E27/$E$6*100</f>
        <v>0</v>
      </c>
      <c r="F28" s="84">
        <f>F27/$F$6*100</f>
        <v>0</v>
      </c>
      <c r="G28" s="84">
        <f>G27/$G$6*100</f>
        <v>0</v>
      </c>
      <c r="H28" s="89">
        <f>H27/$H$6*100</f>
        <v>0</v>
      </c>
    </row>
    <row r="29" spans="2:11" ht="27.85" thickBot="1">
      <c r="B29" s="90" t="s">
        <v>131</v>
      </c>
      <c r="C29" s="78" t="s">
        <v>132</v>
      </c>
      <c r="D29" s="78" t="s">
        <v>110</v>
      </c>
      <c r="E29" s="204">
        <v>0</v>
      </c>
      <c r="F29" s="204">
        <v>0</v>
      </c>
      <c r="G29" s="204">
        <f>E29</f>
        <v>0</v>
      </c>
      <c r="H29" s="205">
        <f>F29</f>
        <v>0</v>
      </c>
    </row>
    <row r="30" spans="2:11" ht="32.950000000000003" customHeight="1" thickBot="1">
      <c r="B30" s="90" t="s">
        <v>133</v>
      </c>
      <c r="C30" s="78" t="s">
        <v>134</v>
      </c>
      <c r="D30" s="78" t="s">
        <v>110</v>
      </c>
      <c r="E30" s="166">
        <f>E8-'2. Macro'!M22-E24+E29</f>
        <v>-1.7212898561812207</v>
      </c>
      <c r="F30" s="166">
        <f>F8-'2. Macro'!N22-F24+F29</f>
        <v>-2.4827688275027664</v>
      </c>
      <c r="G30" s="114">
        <f>G8-'2. Macro'!M21-G24+G29</f>
        <v>-2.0114339783205151</v>
      </c>
      <c r="H30" s="115">
        <f>H8-'2. Macro'!N21-H24+H29</f>
        <v>-2.6069417662128749</v>
      </c>
      <c r="I30" s="11"/>
      <c r="J30" s="11"/>
    </row>
    <row r="31" spans="2:11" ht="27.85" thickBot="1">
      <c r="B31" s="90" t="s">
        <v>135</v>
      </c>
      <c r="C31" s="78" t="s">
        <v>136</v>
      </c>
      <c r="D31" s="78" t="s">
        <v>110</v>
      </c>
      <c r="E31" s="193">
        <f>E10-'2. Macro'!M24-E26</f>
        <v>1.3252469001939764</v>
      </c>
      <c r="F31" s="193">
        <f>F10-'2. Macro'!N24-F26</f>
        <v>1.7362735566268421</v>
      </c>
      <c r="G31" s="193">
        <f>G10-'2. Macro'!M23-G26</f>
        <v>1.2519526975624757</v>
      </c>
      <c r="H31" s="194">
        <f>H10-'2. Macro'!N23-H26</f>
        <v>1.7007962039679807</v>
      </c>
    </row>
    <row r="32" spans="2:11" ht="27.85" thickBot="1">
      <c r="B32" s="90" t="s">
        <v>137</v>
      </c>
      <c r="C32" s="78" t="s">
        <v>138</v>
      </c>
      <c r="D32" s="78" t="s">
        <v>110</v>
      </c>
      <c r="E32" s="193">
        <f>E12-'2. Macro'!M26-E28</f>
        <v>-2.4504911645494093E-2</v>
      </c>
      <c r="F32" s="193">
        <f>F12-'2. Macro'!N26-F28</f>
        <v>1.9946650260573955E-2</v>
      </c>
      <c r="G32" s="204">
        <f>G12-'2. Macro'!M25-G28</f>
        <v>-6.2709171161542801E-2</v>
      </c>
      <c r="H32" s="205">
        <f>H12-'2. Macro'!N25-H28</f>
        <v>-1.8492229205245233E-2</v>
      </c>
    </row>
    <row r="33" spans="2:13" ht="27.85" thickBot="1">
      <c r="B33" s="90" t="s">
        <v>139</v>
      </c>
      <c r="C33" s="85" t="s">
        <v>140</v>
      </c>
      <c r="D33" s="78" t="s">
        <v>110</v>
      </c>
      <c r="E33" s="219">
        <v>-1</v>
      </c>
      <c r="F33" s="219">
        <v>-1</v>
      </c>
      <c r="G33" s="219">
        <v>-1</v>
      </c>
      <c r="H33" s="220">
        <v>-1</v>
      </c>
    </row>
    <row r="34" spans="2:13" ht="27.85" thickBot="1">
      <c r="B34" s="91" t="s">
        <v>141</v>
      </c>
      <c r="C34" s="92" t="s">
        <v>142</v>
      </c>
      <c r="D34" s="93" t="s">
        <v>110</v>
      </c>
      <c r="E34" s="92">
        <v>0</v>
      </c>
      <c r="F34" s="92">
        <v>0</v>
      </c>
      <c r="G34" s="92">
        <v>0</v>
      </c>
      <c r="H34" s="94">
        <v>0</v>
      </c>
      <c r="J34" s="54"/>
      <c r="K34" s="54"/>
    </row>
    <row r="35" spans="2:13" ht="14.3" thickTop="1">
      <c r="C35" s="20"/>
      <c r="D35" s="20"/>
      <c r="E35" s="20"/>
      <c r="F35" s="20"/>
      <c r="G35" s="20"/>
      <c r="H35" s="20"/>
    </row>
    <row r="36" spans="2:13" ht="14.3" thickBot="1">
      <c r="C36" s="6" t="s">
        <v>43</v>
      </c>
      <c r="D36" s="6"/>
      <c r="E36" s="43" t="s">
        <v>44</v>
      </c>
    </row>
    <row r="37" spans="2:13" ht="15.65" thickTop="1" thickBot="1">
      <c r="B37" s="21"/>
      <c r="C37" s="22" t="s">
        <v>143</v>
      </c>
      <c r="D37" s="101"/>
      <c r="E37" s="74" t="s">
        <v>144</v>
      </c>
      <c r="F37" s="11"/>
      <c r="G37" s="11"/>
    </row>
    <row r="38" spans="2:13" ht="14.95" customHeight="1" thickBot="1">
      <c r="B38" s="23"/>
      <c r="C38" s="6" t="s">
        <v>98</v>
      </c>
      <c r="D38" s="111"/>
      <c r="E38" s="419" t="s">
        <v>307</v>
      </c>
      <c r="F38" s="394"/>
      <c r="G38" s="394"/>
      <c r="H38" s="394"/>
      <c r="I38" s="394"/>
      <c r="J38" s="394"/>
      <c r="K38" s="394"/>
      <c r="L38" s="394"/>
      <c r="M38" s="54"/>
    </row>
    <row r="39" spans="2:13" ht="14.95" thickTop="1" thickBot="1">
      <c r="C39" s="6"/>
      <c r="E39" s="38"/>
    </row>
    <row r="40" spans="2:13" ht="15.65" thickTop="1" thickBot="1">
      <c r="C40" s="15" t="s">
        <v>100</v>
      </c>
      <c r="D40" s="100"/>
      <c r="E40" s="75" t="s">
        <v>101</v>
      </c>
      <c r="F40" s="35"/>
      <c r="G40" s="35"/>
    </row>
    <row r="41" spans="2:13" ht="14.45" customHeight="1" thickTop="1">
      <c r="C41" s="409"/>
      <c r="D41" s="409"/>
      <c r="E41" s="11"/>
      <c r="F41" s="11"/>
      <c r="G41" s="11"/>
      <c r="H41" s="11"/>
    </row>
    <row r="42" spans="2:13">
      <c r="C42" s="409"/>
      <c r="D42" s="409"/>
      <c r="E42" s="11"/>
      <c r="F42" s="11"/>
      <c r="G42" s="11"/>
      <c r="H42" s="11"/>
    </row>
  </sheetData>
  <mergeCells count="31">
    <mergeCell ref="E38:L38"/>
    <mergeCell ref="B27:B28"/>
    <mergeCell ref="B15:B16"/>
    <mergeCell ref="C15:C16"/>
    <mergeCell ref="B23:B24"/>
    <mergeCell ref="C23:C24"/>
    <mergeCell ref="B25:B26"/>
    <mergeCell ref="C25:C26"/>
    <mergeCell ref="B21:B22"/>
    <mergeCell ref="C21:C22"/>
    <mergeCell ref="B3:C3"/>
    <mergeCell ref="B4:B5"/>
    <mergeCell ref="C4:C5"/>
    <mergeCell ref="D4:D5"/>
    <mergeCell ref="E4:F4"/>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C27:C28"/>
  </mergeCells>
  <hyperlinks>
    <hyperlink ref="B1" location="Content!A1" display="↖ atgal į turinį" xr:uid="{8D49A034-0168-4894-B604-40CFF3F7B0DE}"/>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theme="7"/>
  </sheetPr>
  <dimension ref="A1:L45"/>
  <sheetViews>
    <sheetView showGridLines="0" showRowColHeaders="0" zoomScaleNormal="100" workbookViewId="0"/>
  </sheetViews>
  <sheetFormatPr defaultColWidth="10" defaultRowHeight="13.6"/>
  <cols>
    <col min="1" max="1" width="3.625" style="1" customWidth="1"/>
    <col min="2" max="2" width="5.375" style="1" customWidth="1"/>
    <col min="3" max="3" width="62.5" style="1" customWidth="1"/>
    <col min="4" max="4" width="23.375" style="1" customWidth="1"/>
    <col min="5" max="6" width="18.875" style="1" customWidth="1"/>
    <col min="7" max="16384" width="10" style="1"/>
  </cols>
  <sheetData>
    <row r="1" spans="1:12">
      <c r="A1" s="221"/>
      <c r="B1" s="447" t="s">
        <v>19</v>
      </c>
      <c r="C1" s="447"/>
      <c r="D1" s="221"/>
      <c r="E1" s="20"/>
      <c r="F1" s="20"/>
    </row>
    <row r="2" spans="1:12" ht="14.3" thickBot="1">
      <c r="A2" s="222" t="s">
        <v>20</v>
      </c>
      <c r="B2" s="20"/>
      <c r="C2" s="20"/>
      <c r="D2" s="20"/>
      <c r="E2" s="20"/>
      <c r="F2" s="20"/>
    </row>
    <row r="3" spans="1:12" ht="34.5" customHeight="1" thickTop="1" thickBot="1">
      <c r="A3" s="212"/>
      <c r="B3" s="448" t="s">
        <v>310</v>
      </c>
      <c r="C3" s="449"/>
      <c r="D3" s="449"/>
      <c r="E3" s="449"/>
      <c r="F3" s="450"/>
    </row>
    <row r="4" spans="1:12" ht="41.3" customHeight="1" thickBot="1">
      <c r="A4" s="20"/>
      <c r="B4" s="161" t="s">
        <v>145</v>
      </c>
      <c r="C4" s="102" t="s">
        <v>146</v>
      </c>
      <c r="D4" s="102" t="s">
        <v>147</v>
      </c>
      <c r="E4" s="451" t="s">
        <v>148</v>
      </c>
      <c r="F4" s="452"/>
      <c r="J4" s="41"/>
      <c r="K4" s="41"/>
      <c r="L4" s="41"/>
    </row>
    <row r="5" spans="1:12" ht="32.950000000000003" customHeight="1" thickBot="1">
      <c r="A5" s="20"/>
      <c r="B5" s="453" t="s">
        <v>149</v>
      </c>
      <c r="C5" s="454"/>
      <c r="D5" s="454"/>
      <c r="E5" s="160" t="s">
        <v>23</v>
      </c>
      <c r="F5" s="116" t="s">
        <v>24</v>
      </c>
      <c r="J5" s="41"/>
      <c r="K5" s="41"/>
      <c r="L5" s="41"/>
    </row>
    <row r="6" spans="1:12" ht="14.3" customHeight="1">
      <c r="A6" s="20"/>
      <c r="B6" s="455"/>
      <c r="C6" s="217" t="s">
        <v>150</v>
      </c>
      <c r="D6" s="441"/>
      <c r="E6" s="425" t="str">
        <f>"Ne"</f>
        <v>Ne</v>
      </c>
      <c r="F6" s="426"/>
    </row>
    <row r="7" spans="1:12" ht="14.3" customHeight="1" thickBot="1">
      <c r="A7" s="20"/>
      <c r="B7" s="456"/>
      <c r="C7" s="218" t="s">
        <v>29</v>
      </c>
      <c r="D7" s="442"/>
      <c r="E7" s="439" t="str">
        <f>"Ne"</f>
        <v>Ne</v>
      </c>
      <c r="F7" s="440"/>
    </row>
    <row r="8" spans="1:12" ht="18" customHeight="1">
      <c r="A8" s="20"/>
      <c r="B8" s="444" t="s">
        <v>272</v>
      </c>
      <c r="C8" s="434" t="s">
        <v>151</v>
      </c>
      <c r="D8" s="436" t="s">
        <v>152</v>
      </c>
      <c r="E8" s="104" t="str">
        <f>IF(E28&gt;eps,"Tiesa","Netiesa")</f>
        <v>Netiesa</v>
      </c>
      <c r="F8" s="117" t="str">
        <f>IF(F28&gt;eps,"Tiesa","Netiesa")</f>
        <v>Netiesa</v>
      </c>
    </row>
    <row r="9" spans="1:12" ht="15.8" customHeight="1">
      <c r="A9" s="20"/>
      <c r="B9" s="445"/>
      <c r="C9" s="435"/>
      <c r="D9" s="437"/>
      <c r="E9" s="148" t="str">
        <f>CONCATENATE(FIXED(E28,1),IF(E28="Tiesa"," ≥ "," &lt; "),FIXED(0,1))</f>
        <v>-2,5 &lt; 0,0</v>
      </c>
      <c r="F9" s="206" t="str">
        <f>CONCATENATE(FIXED(F28,1),IF(F28="Tiesa"," ≥ "," &lt; "),FIXED(0,1))</f>
        <v>-2,6 &lt; 0,0</v>
      </c>
      <c r="H9" s="24"/>
    </row>
    <row r="10" spans="1:12" ht="14.3" thickBot="1">
      <c r="A10" s="20"/>
      <c r="B10" s="446"/>
      <c r="C10" s="207" t="s">
        <v>153</v>
      </c>
      <c r="D10" s="438"/>
      <c r="E10" s="154" t="str">
        <f>IF(E8="Tiesa","True","False")</f>
        <v>False</v>
      </c>
      <c r="F10" s="118" t="str">
        <f>IF(F8="Tiesa","True","False")</f>
        <v>False</v>
      </c>
      <c r="H10" s="24"/>
    </row>
    <row r="11" spans="1:12" ht="36" customHeight="1">
      <c r="A11" s="20"/>
      <c r="B11" s="444" t="s">
        <v>273</v>
      </c>
      <c r="C11" s="434" t="s">
        <v>154</v>
      </c>
      <c r="D11" s="436" t="s">
        <v>155</v>
      </c>
      <c r="E11" s="104" t="str">
        <f>IF((ABS(E28)+eps&lt;ABS($E$30))*(ABS(E28)&lt;ABS(E29))*(E31&gt;=-eps),"Tiesa","Netiesa")</f>
        <v>Netiesa</v>
      </c>
      <c r="F11" s="117" t="str">
        <f>IF((ABS(F28)+eps&lt;ABS($E$30))*(ABS(F28)&lt;ABS(F29))*(F31&gt;=-eps),"Tiesa","Netiesa")</f>
        <v>Netiesa</v>
      </c>
      <c r="I11" s="12"/>
    </row>
    <row r="12" spans="1:12" ht="43.5" customHeight="1">
      <c r="A12" s="20"/>
      <c r="B12" s="445"/>
      <c r="C12" s="435"/>
      <c r="D12" s="437"/>
      <c r="E12" s="106" t="str">
        <f>CONCATENATE(FIXED(ABS(E28),1),IF(ABS(E28)+eps&lt;ABS($E$30)," &lt; "," ≥ "),FIXED(ABS($E$30),1)," &amp;
",FIXED(ABS(E28),1),IF(ABS(E28)&lt;ABS(E29)," &lt; "," ≥ "),FIXED(ABS(E29),1)," &amp;
",FIXED(E31,1),IF(E31&lt;-eps," &lt; "," ≥ "),FIXED(0,1))</f>
        <v>2,5 ≥ 1,0 &amp;
2,5 ≥ 1,7 &amp;
-0,4 &lt; 0,0</v>
      </c>
      <c r="F12" s="208" t="str">
        <f>CONCATENATE(FIXED(ABS(F28),1),IF(ABS(F28)+eps&lt;ABS($E$30)," &lt; "," ≥ "),FIXED(ABS($E$30),1)," &amp;
",FIXED(ABS(F28),1),IF(ABS(F28)&lt;ABS(F29)," &lt; "," ≥ "),FIXED(ABS(F29),1)," &amp;
",FIXED(F31,1),IF(F31&lt;-eps," &lt; "," ≥ "),FIXED(0,1))</f>
        <v>2,6 ≥ 1,0 &amp;
2,6 ≥ 2,0 &amp;
0,0 ≥ 0,0</v>
      </c>
      <c r="G12" s="25"/>
      <c r="H12" s="26"/>
      <c r="I12" s="12"/>
      <c r="J12" s="12"/>
    </row>
    <row r="13" spans="1:12" ht="45" customHeight="1" thickBot="1">
      <c r="A13" s="20"/>
      <c r="B13" s="446"/>
      <c r="C13" s="207" t="s">
        <v>156</v>
      </c>
      <c r="D13" s="438"/>
      <c r="E13" s="105" t="str">
        <f>IF(E11="Tiesa","True","False")</f>
        <v>False</v>
      </c>
      <c r="F13" s="119" t="str">
        <f>IF(F11="Tiesa","True","False")</f>
        <v>False</v>
      </c>
      <c r="G13" s="25"/>
      <c r="H13" s="26"/>
      <c r="I13" s="12"/>
      <c r="J13" s="12"/>
    </row>
    <row r="14" spans="1:12" ht="33.799999999999997" customHeight="1">
      <c r="A14" s="20"/>
      <c r="B14" s="444" t="s">
        <v>274</v>
      </c>
      <c r="C14" s="434" t="s">
        <v>157</v>
      </c>
      <c r="D14" s="436" t="s">
        <v>158</v>
      </c>
      <c r="E14" s="104" t="str">
        <f>IF((ABS(E28)+eps&lt;ABS($E$30))*(E31&lt;-eps),"Tiesa","Netiesa")</f>
        <v>Netiesa</v>
      </c>
      <c r="F14" s="117" t="str">
        <f>IF((ABS(F28)+eps&lt;ABS($E$30))*(F31&lt;-eps),"Tiesa","Netiesa")</f>
        <v>Netiesa</v>
      </c>
      <c r="I14" s="12"/>
      <c r="J14" s="12"/>
    </row>
    <row r="15" spans="1:12" ht="32.950000000000003" customHeight="1">
      <c r="A15" s="20"/>
      <c r="B15" s="445"/>
      <c r="C15" s="435"/>
      <c r="D15" s="437"/>
      <c r="E15" s="106" t="str">
        <f>CONCATENATE(FIXED(ABS(E28),1),IF(ABS(E28)+eps&lt;ABS($E$30)," &lt; "," ≥ "),FIXED(ABS($E$30),1)," &amp;
",FIXED(E31,1),IF(E31&lt;-eps," &lt; "," ≥ "),FIXED(0,1))</f>
        <v>2,5 ≥ 1,0 &amp;
-0,4 &lt; 0,0</v>
      </c>
      <c r="F15" s="208" t="str">
        <f>CONCATENATE(FIXED(ABS(F28),1),IF(ABS(F28)+eps&lt;ABS($E$30)," &lt; "," ≥ "),FIXED(ABS($E$30),1)," &amp;
",FIXED(F31,1),IF(F31&lt;-eps," &lt; "," ≥ "),FIXED(0,1))</f>
        <v>2,6 ≥ 1,0 &amp;
0,0 ≥ 0,0</v>
      </c>
    </row>
    <row r="16" spans="1:12" ht="44.35" customHeight="1" thickBot="1">
      <c r="A16" s="20"/>
      <c r="B16" s="446"/>
      <c r="C16" s="207" t="s">
        <v>159</v>
      </c>
      <c r="D16" s="438"/>
      <c r="E16" s="105" t="str">
        <f>IF(E14="Tiesa","True","False")</f>
        <v>False</v>
      </c>
      <c r="F16" s="120" t="str">
        <f>IF(F14="Tiesa","True","False")</f>
        <v>False</v>
      </c>
    </row>
    <row r="17" spans="1:6" ht="34.5" customHeight="1">
      <c r="A17" s="20"/>
      <c r="B17" s="444" t="s">
        <v>275</v>
      </c>
      <c r="C17" s="458" t="s">
        <v>160</v>
      </c>
      <c r="D17" s="431" t="s">
        <v>161</v>
      </c>
      <c r="E17" s="104" t="str">
        <f>IF(($E$32&gt;0),IF((E28&gt;=E29+$E$32),"Tiesa","Netiesa"),"Netaikoma")</f>
        <v>Netaikoma</v>
      </c>
      <c r="F17" s="121" t="str">
        <f>IF(($E$32&gt;0),IF((E28&gt;=E29+$E$32),"Tiesa","Netiesa"),"Netaikoma")</f>
        <v>Netaikoma</v>
      </c>
    </row>
    <row r="18" spans="1:6" ht="15.8" customHeight="1">
      <c r="A18" s="20"/>
      <c r="B18" s="445"/>
      <c r="C18" s="459"/>
      <c r="D18" s="432"/>
      <c r="E18" s="106" t="str">
        <f>IF($E$32=0,"",CONCATENATE(FIXED(E28,1),IF(E28&gt;=E29+$E$32," ≥ "," &lt; "),FIXED(E29,1)," + ",FIXED($E$32,1)," = ",FIXED(E29+$E$32,1)))</f>
        <v/>
      </c>
      <c r="F18" s="208" t="str">
        <f>IF($E$32=0,"",CONCATENATE(FIXED(F28,1),IF(F28&gt;=F29+$E$32," ≥ "," &lt; "),FIXED(F29,1)," + ",FIXED($E$32,1)," = ",FIXED(F29+$E$32,1)))</f>
        <v/>
      </c>
    </row>
    <row r="19" spans="1:6" ht="47.25" customHeight="1" thickBot="1">
      <c r="A19" s="20"/>
      <c r="B19" s="446"/>
      <c r="C19" s="209" t="s">
        <v>162</v>
      </c>
      <c r="D19" s="460"/>
      <c r="E19" s="105" t="str">
        <f>IF(E17="Tiesa","True",IF(E17="Netaikoma","Not applicable","False"))</f>
        <v>Not applicable</v>
      </c>
      <c r="F19" s="120" t="str">
        <f>IF(F17="Tiesa","True",IF(F17="Netaikoma","Not applicable","False"))</f>
        <v>Not applicable</v>
      </c>
    </row>
    <row r="20" spans="1:6" ht="14.3">
      <c r="A20" s="20"/>
      <c r="B20" s="444" t="s">
        <v>163</v>
      </c>
      <c r="C20" s="429" t="s">
        <v>254</v>
      </c>
      <c r="D20" s="431"/>
      <c r="E20" s="157" t="str">
        <f>IF(E6="Taip","Netaikoma", IF(OR(E8="Tiesa",E11="Tiesa",E14="Tiesa",E17="Tiesa"),"Taip","Ne"))</f>
        <v>Ne</v>
      </c>
      <c r="F20" s="122" t="str">
        <f>IF(E6="Taip","Netaikoma", IF(OR(F8="Tiesa",F11="Tiesa",F14="Tiesa",F17="Tiesa"),"Taip","Ne"))</f>
        <v>Ne</v>
      </c>
    </row>
    <row r="21" spans="1:6" ht="44" customHeight="1">
      <c r="A21" s="20"/>
      <c r="B21" s="445"/>
      <c r="C21" s="430"/>
      <c r="D21" s="432"/>
      <c r="E21" s="158" t="str">
        <f>IF($E$6="Taip","Paskelbtos išskirtinės aplinkybės",IF(E20="Taip",IF(E34=1,CONCATENATE("Tenkinama ",I30,I31,I32,I33," sąlyga"),CONCATENATE("Tenkinamos ", IF(E30=1,CONCATENATE(I30," "),""),IF(E31=1,CONCATENATE(I31," "),""),IF(E32=1,CONCATENATE(I32," "),""),IF(E33=1,CONCATENATE(I33," "),""),"sąlygos")),"Netenkinama nei viena iš sąlygų"))</f>
        <v>Netenkinama nei viena iš sąlygų</v>
      </c>
      <c r="F21" s="123" t="str">
        <f>IF($E$6="Taip","Paskelbtos išskirtinės aplinkybės",IF(E20="Taip",IF(E34=1,CONCATENATE("Tenkinama ",I30,I31,I32,I33," sąlyga"),CONCATENATE("Tenkinamos ", IF(E30=1,CONCATENATE(I30," "),""),IF(E31=1,CONCATENATE(I31," "),""),IF(E32=1,CONCATENATE(I32," "),""),IF(E33=1,CONCATENATE(I33," "),""),"sąlygos")),"Netenkinama nei viena iš sąlygų"))</f>
        <v>Netenkinama nei viena iš sąlygų</v>
      </c>
    </row>
    <row r="22" spans="1:6" ht="21.1" customHeight="1">
      <c r="A22" s="20"/>
      <c r="B22" s="445"/>
      <c r="C22" s="461" t="s">
        <v>164</v>
      </c>
      <c r="D22" s="432"/>
      <c r="E22" s="164" t="str">
        <f>IF(E20="Taip","Yes",IF(E20="Netaikoma","Not applicable","False"))</f>
        <v>False</v>
      </c>
      <c r="F22" s="124" t="str">
        <f>IF(F20="Taip","Yes",IF(F20="Netaikoma","Not applicable","False"))</f>
        <v>False</v>
      </c>
    </row>
    <row r="23" spans="1:6" ht="28.55" customHeight="1" thickBot="1">
      <c r="A23" s="20"/>
      <c r="B23" s="457"/>
      <c r="C23" s="462"/>
      <c r="D23" s="433"/>
      <c r="E23" s="165" t="str">
        <f>IF($E$6="Taip","Exceptional circumstances",IF(J16="Yes",IF(E33=1,CONCATENATE("Condition ",J29,J30,J31,J32," is valid"),CONCATENATE("Conditions ", IF(E29=1,CONCATENATE(J29," "),""),IF(E30=1,CONCATENATE(J30," "),""),IF(E31=1,CONCATENATE(J31," "),""),IF(E32=1,CONCATENATE(J32," "),""),"are valid")),"None of the conditions is valid"))</f>
        <v>None of the conditions is valid</v>
      </c>
      <c r="F23" s="125" t="str">
        <f>IF($E$6="Taip","Exceptional circumstances",IF(J16="Yes",IF(E33=1,CONCATENATE("Condition ",J29,J30,J31,J32," is valid"),CONCATENATE("Conditions ", IF(E29=1,CONCATENATE(J29," "),""),IF(E30=1,CONCATENATE(J30," "),""),IF(E31=1,CONCATENATE(J31," "),""),IF(E32=1,CONCATENATE(J32," "),""),"are valid")),"None of the conditions is valid"))</f>
        <v>None of the conditions is valid</v>
      </c>
    </row>
    <row r="24" spans="1:6" ht="15.8" customHeight="1" thickTop="1">
      <c r="A24" s="20"/>
      <c r="B24" s="20"/>
      <c r="C24" s="420" t="s">
        <v>165</v>
      </c>
      <c r="D24" s="420"/>
      <c r="E24" s="420"/>
      <c r="F24" s="420"/>
    </row>
    <row r="25" spans="1:6" ht="15.8" customHeight="1">
      <c r="A25" s="20"/>
      <c r="B25" s="20"/>
      <c r="C25" s="443" t="s">
        <v>166</v>
      </c>
      <c r="D25" s="443"/>
      <c r="E25" s="443"/>
      <c r="F25" s="443"/>
    </row>
    <row r="26" spans="1:6" ht="14.3" thickBot="1">
      <c r="A26" s="20"/>
      <c r="B26" s="20"/>
      <c r="C26" s="210" t="s">
        <v>167</v>
      </c>
      <c r="D26" s="211"/>
      <c r="E26" s="212"/>
      <c r="F26" s="212"/>
    </row>
    <row r="27" spans="1:6" ht="14.95" thickTop="1" thickBot="1">
      <c r="A27" s="20"/>
      <c r="B27" s="20"/>
      <c r="C27" s="213" t="s">
        <v>168</v>
      </c>
      <c r="D27" s="214" t="s">
        <v>169</v>
      </c>
      <c r="E27" s="421">
        <v>2026</v>
      </c>
      <c r="F27" s="422"/>
    </row>
    <row r="28" spans="1:6" ht="14.3" thickBot="1">
      <c r="A28" s="20"/>
      <c r="B28" s="20"/>
      <c r="C28" s="20"/>
      <c r="D28" s="214" t="s">
        <v>170</v>
      </c>
      <c r="E28" s="215">
        <f>'3. GGbudget'!F30</f>
        <v>-2.4827688275027664</v>
      </c>
      <c r="F28" s="216">
        <f>'3. GGbudget'!H30</f>
        <v>-2.6069417662128749</v>
      </c>
    </row>
    <row r="29" spans="1:6" ht="14.3" thickBot="1">
      <c r="A29" s="20"/>
      <c r="B29" s="20"/>
      <c r="C29" s="20"/>
      <c r="D29" s="214" t="s">
        <v>171</v>
      </c>
      <c r="E29" s="215">
        <f>'3. GGbudget'!E30</f>
        <v>-1.7212898561812207</v>
      </c>
      <c r="F29" s="216">
        <f>'3. GGbudget'!G30</f>
        <v>-2.0114339783205151</v>
      </c>
    </row>
    <row r="30" spans="1:6" ht="14.3" thickBot="1">
      <c r="A30" s="20"/>
      <c r="B30" s="20"/>
      <c r="C30" s="20"/>
      <c r="D30" s="214" t="s">
        <v>172</v>
      </c>
      <c r="E30" s="423">
        <f>'3. GGbudget'!F33</f>
        <v>-1</v>
      </c>
      <c r="F30" s="424"/>
    </row>
    <row r="31" spans="1:6" ht="14.3" thickBot="1">
      <c r="A31" s="20"/>
      <c r="B31" s="20"/>
      <c r="C31" s="20"/>
      <c r="D31" s="214" t="s">
        <v>173</v>
      </c>
      <c r="E31" s="215">
        <f>'2. Macro'!N20</f>
        <v>-0.41962124409199442</v>
      </c>
      <c r="F31" s="216">
        <f>'2. Macro'!N19</f>
        <v>-3.0596915507008493E-2</v>
      </c>
    </row>
    <row r="32" spans="1:6" ht="14.3" thickBot="1">
      <c r="A32" s="20"/>
      <c r="B32" s="20"/>
      <c r="C32" s="20"/>
      <c r="D32" s="214" t="s">
        <v>174</v>
      </c>
      <c r="E32" s="427">
        <f>'3. GGbudget'!F34</f>
        <v>0</v>
      </c>
      <c r="F32" s="428"/>
    </row>
    <row r="33" spans="1:9" ht="14.95" thickTop="1" thickBot="1">
      <c r="A33" s="20"/>
      <c r="B33" s="20"/>
      <c r="C33" s="20"/>
      <c r="D33" s="214" t="s">
        <v>43</v>
      </c>
      <c r="E33" s="20"/>
      <c r="F33" s="20"/>
      <c r="G33" s="44" t="s">
        <v>44</v>
      </c>
    </row>
    <row r="34" spans="1:9" ht="14.95" thickTop="1" thickBot="1">
      <c r="A34" s="20"/>
      <c r="B34" s="20"/>
      <c r="C34" s="214"/>
      <c r="D34" s="214" t="s">
        <v>45</v>
      </c>
      <c r="E34" s="378" t="s">
        <v>23</v>
      </c>
      <c r="F34" s="379"/>
      <c r="G34" s="44" t="s">
        <v>46</v>
      </c>
    </row>
    <row r="35" spans="1:9" ht="14.3" thickBot="1">
      <c r="A35" s="20"/>
      <c r="B35" s="20"/>
      <c r="C35" s="214"/>
      <c r="D35" s="214" t="s">
        <v>47</v>
      </c>
      <c r="E35" s="380" t="s">
        <v>24</v>
      </c>
      <c r="F35" s="381"/>
      <c r="G35" s="38" t="s">
        <v>48</v>
      </c>
    </row>
    <row r="36" spans="1:9" s="8" customFormat="1" ht="14.95" thickTop="1">
      <c r="C36" s="28" t="s">
        <v>175</v>
      </c>
      <c r="D36" s="29" t="s">
        <v>176</v>
      </c>
      <c r="E36" s="39">
        <f>J13*1</f>
        <v>0</v>
      </c>
      <c r="F36" s="30"/>
    </row>
    <row r="37" spans="1:9" s="8" customFormat="1" ht="14.3">
      <c r="C37" s="28" t="s">
        <v>177</v>
      </c>
      <c r="D37" s="29" t="s">
        <v>178</v>
      </c>
      <c r="E37" s="39">
        <f>J15*1</f>
        <v>0</v>
      </c>
      <c r="F37" s="30"/>
    </row>
    <row r="38" spans="1:9" s="8" customFormat="1" ht="14.3">
      <c r="C38" s="28" t="s">
        <v>179</v>
      </c>
      <c r="D38" s="29" t="s">
        <v>180</v>
      </c>
      <c r="E38" s="39">
        <f>J17*1</f>
        <v>0</v>
      </c>
      <c r="F38" s="30"/>
      <c r="G38" s="31"/>
    </row>
    <row r="39" spans="1:9" s="8" customFormat="1" ht="14.3">
      <c r="C39" s="28" t="s">
        <v>181</v>
      </c>
      <c r="D39" s="29" t="s">
        <v>182</v>
      </c>
      <c r="E39" s="39">
        <f>J19*1</f>
        <v>0</v>
      </c>
      <c r="F39" s="30"/>
      <c r="G39" s="31"/>
    </row>
    <row r="40" spans="1:9" s="8" customFormat="1" ht="14.3">
      <c r="E40" s="39">
        <f>SUM(E36:E39)</f>
        <v>0</v>
      </c>
      <c r="F40" s="30"/>
    </row>
    <row r="41" spans="1:9" ht="14.3">
      <c r="C41" s="10"/>
      <c r="D41" s="10"/>
      <c r="E41" s="40"/>
      <c r="F41" s="10"/>
      <c r="G41" s="8"/>
      <c r="H41" s="8"/>
      <c r="I41" s="8"/>
    </row>
    <row r="42" spans="1:9">
      <c r="C42" s="10"/>
      <c r="D42" s="10"/>
      <c r="E42" s="10"/>
      <c r="F42" s="10"/>
      <c r="G42" s="8"/>
      <c r="H42" s="8"/>
      <c r="I42" s="8"/>
    </row>
    <row r="43" spans="1:9">
      <c r="C43" s="12"/>
      <c r="D43" s="10"/>
      <c r="E43" s="10"/>
      <c r="F43" s="10"/>
    </row>
    <row r="44" spans="1:9">
      <c r="C44" s="12"/>
      <c r="D44" s="10"/>
      <c r="E44" s="10"/>
      <c r="F44" s="10"/>
    </row>
    <row r="45" spans="1:9">
      <c r="C45" s="12"/>
      <c r="D45" s="12"/>
      <c r="E45" s="12"/>
      <c r="F45" s="12"/>
    </row>
  </sheetData>
  <mergeCells count="31">
    <mergeCell ref="B20:B23"/>
    <mergeCell ref="C17:C18"/>
    <mergeCell ref="D17:D19"/>
    <mergeCell ref="B17:B19"/>
    <mergeCell ref="C14:C15"/>
    <mergeCell ref="D14:D16"/>
    <mergeCell ref="B14:B16"/>
    <mergeCell ref="C22:C23"/>
    <mergeCell ref="B11:B13"/>
    <mergeCell ref="B1:C1"/>
    <mergeCell ref="B3:F3"/>
    <mergeCell ref="E4:F4"/>
    <mergeCell ref="C8:C9"/>
    <mergeCell ref="D8:D10"/>
    <mergeCell ref="B8:B10"/>
    <mergeCell ref="B5:D5"/>
    <mergeCell ref="B6:B7"/>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theme="7"/>
  </sheetPr>
  <dimension ref="A1:K70"/>
  <sheetViews>
    <sheetView showGridLines="0" showRowColHeaders="0" zoomScaleNormal="100" workbookViewId="0"/>
  </sheetViews>
  <sheetFormatPr defaultColWidth="10" defaultRowHeight="13.6"/>
  <cols>
    <col min="1" max="1" width="3.625" style="1" customWidth="1"/>
    <col min="2" max="2" width="5.5" style="36" customWidth="1"/>
    <col min="3" max="3" width="100.625" style="1" customWidth="1"/>
    <col min="4" max="4" width="14.5" style="1" customWidth="1"/>
    <col min="5" max="5" width="25.5" style="1" customWidth="1"/>
    <col min="6" max="7" width="17" style="1" customWidth="1"/>
    <col min="8" max="8" width="12" style="1" customWidth="1"/>
    <col min="9" max="16384" width="10" style="1"/>
  </cols>
  <sheetData>
    <row r="1" spans="1:10">
      <c r="A1" s="2"/>
      <c r="B1" s="477" t="s">
        <v>19</v>
      </c>
      <c r="C1" s="477"/>
    </row>
    <row r="2" spans="1:10" ht="14.3" thickBot="1">
      <c r="A2" s="8" t="s">
        <v>20</v>
      </c>
    </row>
    <row r="3" spans="1:10" ht="39.75" customHeight="1" thickTop="1" thickBot="1">
      <c r="B3" s="448" t="s">
        <v>311</v>
      </c>
      <c r="C3" s="449"/>
      <c r="D3" s="449"/>
      <c r="E3" s="449"/>
      <c r="F3" s="449"/>
      <c r="G3" s="450"/>
    </row>
    <row r="4" spans="1:10" ht="30.1" customHeight="1" thickBot="1">
      <c r="B4" s="161" t="s">
        <v>183</v>
      </c>
      <c r="C4" s="223" t="s">
        <v>184</v>
      </c>
      <c r="D4" s="478" t="s">
        <v>147</v>
      </c>
      <c r="E4" s="479"/>
      <c r="F4" s="451" t="s">
        <v>148</v>
      </c>
      <c r="G4" s="452"/>
      <c r="H4" s="46"/>
    </row>
    <row r="5" spans="1:10" ht="33.799999999999997" customHeight="1" thickBot="1">
      <c r="B5" s="453" t="s">
        <v>149</v>
      </c>
      <c r="C5" s="454"/>
      <c r="D5" s="454"/>
      <c r="E5" s="454"/>
      <c r="F5" s="160" t="s">
        <v>23</v>
      </c>
      <c r="G5" s="116" t="s">
        <v>24</v>
      </c>
      <c r="H5" s="5"/>
      <c r="I5" s="5"/>
      <c r="J5" s="5"/>
    </row>
    <row r="6" spans="1:10" ht="14.95" customHeight="1">
      <c r="B6" s="455"/>
      <c r="C6" s="217" t="s">
        <v>150</v>
      </c>
      <c r="D6" s="441"/>
      <c r="E6" s="441"/>
      <c r="F6" s="425" t="s">
        <v>329</v>
      </c>
      <c r="G6" s="426"/>
    </row>
    <row r="7" spans="1:10" ht="14.3" customHeight="1" thickBot="1">
      <c r="B7" s="456"/>
      <c r="C7" s="218" t="s">
        <v>29</v>
      </c>
      <c r="D7" s="442"/>
      <c r="E7" s="442"/>
      <c r="F7" s="439" t="s">
        <v>330</v>
      </c>
      <c r="G7" s="440"/>
    </row>
    <row r="8" spans="1:10" ht="30.1" customHeight="1">
      <c r="B8" s="463" t="s">
        <v>266</v>
      </c>
      <c r="C8" s="434" t="s">
        <v>185</v>
      </c>
      <c r="D8" s="436"/>
      <c r="E8" s="436"/>
      <c r="F8" s="145" t="str">
        <f>IF(F51+eps&lt;AVERAGE('2. Macro'!G32:K32)+2,"Tiesa","Netiesa")</f>
        <v>Netiesa</v>
      </c>
      <c r="G8" s="126" t="str">
        <f>IF(F51+eps&lt;AVERAGE('2. Macro'!G32:K32)+2,"Tiesa","Netiesa")</f>
        <v>Netiesa</v>
      </c>
      <c r="H8" s="5"/>
      <c r="I8" s="5"/>
      <c r="J8" s="5"/>
    </row>
    <row r="9" spans="1:10" ht="19.55" customHeight="1">
      <c r="B9" s="464"/>
      <c r="C9" s="435"/>
      <c r="D9" s="437"/>
      <c r="E9" s="437"/>
      <c r="F9" s="148" t="str">
        <f>CONCATENATE(FIXED(F51,1),IF(F8="Tiesa"," &lt; "," ≥ "),FIXED(AVERAGE('2. Macro'!H32:L32)+2,1))</f>
        <v>6,9 ≥ 7,1</v>
      </c>
      <c r="G9" s="127" t="str">
        <f>CONCATENATE(FIXED(G51,1),IF(G8="Tiesa"," &lt; "," ≥ "),FIXED(AVERAGE('2. Macro'!H32:L32)+2,1))</f>
        <v>6,9 ≥ 7,1</v>
      </c>
      <c r="H9" s="5"/>
      <c r="I9" s="5"/>
      <c r="J9" s="5"/>
    </row>
    <row r="10" spans="1:10" ht="34.5" customHeight="1" thickBot="1">
      <c r="B10" s="465"/>
      <c r="C10" s="207" t="s">
        <v>186</v>
      </c>
      <c r="D10" s="438"/>
      <c r="E10" s="438"/>
      <c r="F10" s="154" t="str">
        <f>IF(F8="Tiesa","True","False")</f>
        <v>False</v>
      </c>
      <c r="G10" s="128" t="str">
        <f>IF(G8="Tiesa","True","False")</f>
        <v>False</v>
      </c>
      <c r="H10" s="5"/>
      <c r="I10" s="5"/>
      <c r="J10" s="5"/>
    </row>
    <row r="11" spans="1:10" ht="30.1" customHeight="1" thickBot="1">
      <c r="B11" s="480" t="s">
        <v>267</v>
      </c>
      <c r="C11" s="466" t="s">
        <v>187</v>
      </c>
      <c r="D11" s="483" t="s">
        <v>252</v>
      </c>
      <c r="E11" s="483"/>
      <c r="F11" s="145" t="str">
        <f>IF('3. GGbudget'!F8&gt;='3. GGbudget'!E8+1,"Tiesa","Netiesa")</f>
        <v>Netiesa</v>
      </c>
      <c r="G11" s="126" t="str">
        <f>IF('3. GGbudget'!H8&gt;='3. GGbudget'!G8+1,"Tiesa","Netiesa")</f>
        <v>Netiesa</v>
      </c>
    </row>
    <row r="12" spans="1:10" ht="14.95" customHeight="1" thickBot="1">
      <c r="B12" s="481"/>
      <c r="C12" s="467"/>
      <c r="D12" s="484"/>
      <c r="E12" s="484"/>
      <c r="F12" s="148" t="str">
        <f>CONCATENATE(FIXED('3. GGbudget'!F8-'3. GGbudget'!E8,1),IF(F11="Tiesa"," ≥ "," &lt; "),FIXED(1,1))</f>
        <v>-0,4 &lt; 1,0</v>
      </c>
      <c r="G12" s="127" t="str">
        <f>CONCATENATE(FIXED('3. GGbudget'!H8-'3. GGbudget'!G8,1),IF(G11="Tiesa"," ≥ "," &lt; "),FIXED(1,1))</f>
        <v>-0,4 &lt; 1,0</v>
      </c>
    </row>
    <row r="13" spans="1:10" ht="30.1" customHeight="1" thickBot="1">
      <c r="B13" s="482"/>
      <c r="C13" s="224" t="s">
        <v>188</v>
      </c>
      <c r="D13" s="485"/>
      <c r="E13" s="485"/>
      <c r="F13" s="154" t="str">
        <f>IF(F11="Tiesa","True","False")</f>
        <v>False</v>
      </c>
      <c r="G13" s="128" t="str">
        <f>IF(G11="Tiesa","True","False")</f>
        <v>False</v>
      </c>
    </row>
    <row r="14" spans="1:10" ht="27.7" customHeight="1" thickBot="1">
      <c r="B14" s="480" t="s">
        <v>268</v>
      </c>
      <c r="C14" s="466" t="s">
        <v>189</v>
      </c>
      <c r="D14" s="486"/>
      <c r="E14" s="486"/>
      <c r="F14" s="150" t="str">
        <f>IF(ROUND(AVERAGE('2. Macro'!G36:K36),1)&gt;=0.1,"Tiesa","Netiesa")</f>
        <v>Netiesa</v>
      </c>
      <c r="G14" s="129" t="str">
        <f>IF(ROUND(AVERAGE('2. Macro'!G35:K35),1)&gt;=0.1,"Tiesa","Netiesa")</f>
        <v>Netiesa</v>
      </c>
    </row>
    <row r="15" spans="1:10" ht="14.95" customHeight="1" thickBot="1">
      <c r="B15" s="481"/>
      <c r="C15" s="467"/>
      <c r="D15" s="487"/>
      <c r="E15" s="487"/>
      <c r="F15" s="155" t="str">
        <f>CONCATENATE(FIXED(AVERAGE('2. Macro'!H36:L36),1),IF(F14="Tiesa"," ≥ "," &lt; "),FIXED(0.1,1))</f>
        <v>-2,0 &lt; 0,1</v>
      </c>
      <c r="G15" s="130" t="str">
        <f>CONCATENATE(FIXED(AVERAGE('2. Macro'!H35:L35),1),IF(G14="Tiesa"," ≥ "," &lt; "),FIXED(0.1,1))</f>
        <v>-2,0 &lt; 0,1</v>
      </c>
    </row>
    <row r="16" spans="1:10" ht="27.85" thickBot="1">
      <c r="B16" s="482"/>
      <c r="C16" s="224" t="s">
        <v>190</v>
      </c>
      <c r="D16" s="488"/>
      <c r="E16" s="488"/>
      <c r="F16" s="156" t="str">
        <f>IF(F14="Tiesa","True","False")</f>
        <v>False</v>
      </c>
      <c r="G16" s="131" t="str">
        <f>IF(G14="Tiesa","True","False")</f>
        <v>False</v>
      </c>
    </row>
    <row r="17" spans="2:8" ht="51.8" customHeight="1">
      <c r="B17" s="463" t="s">
        <v>269</v>
      </c>
      <c r="C17" s="466" t="s">
        <v>191</v>
      </c>
      <c r="D17" s="436" t="s">
        <v>249</v>
      </c>
      <c r="E17" s="436"/>
      <c r="F17" s="145" t="str">
        <f>IF(F57="", "Netaikoma",IF(ROUND(F58,1)&gt;=F57,"Tiesa","Netiesa"))</f>
        <v>Netaikoma</v>
      </c>
      <c r="G17" s="126" t="str">
        <f>IF(F57="", "Netaikoma",IF(ROUND(G58,1)&gt;=G57,"Tiesa","Netiesa"))</f>
        <v>Netaikoma</v>
      </c>
    </row>
    <row r="18" spans="2:8" ht="18.7" customHeight="1">
      <c r="B18" s="464"/>
      <c r="C18" s="467"/>
      <c r="D18" s="437"/>
      <c r="E18" s="437"/>
      <c r="F18" s="155" t="str">
        <f>IF(F17="Netaikoma","",CONCATENATE(FIXED(F58,1),IF(F14="Tiesa"," ≥ "," &lt; "),FIXED(F57,1)))</f>
        <v/>
      </c>
      <c r="G18" s="127" t="str">
        <f>IF(F17="Netaikoma","",CONCATENATE(FIXED(G58,1),IF(G14="Tiesa"," ≥ "," &lt; "),FIXED(G57,1)))</f>
        <v/>
      </c>
    </row>
    <row r="19" spans="2:8" ht="51.8" customHeight="1" thickBot="1">
      <c r="B19" s="465"/>
      <c r="C19" s="207" t="s">
        <v>192</v>
      </c>
      <c r="D19" s="438"/>
      <c r="E19" s="438"/>
      <c r="F19" s="154" t="str">
        <f>IF(F17="Netaikoma","Not applicable",IF(F17="Tiesa","True","False"))</f>
        <v>Not applicable</v>
      </c>
      <c r="G19" s="128" t="str">
        <f>IF(F17="Netaikoma","Not applicable",IF(G17="Tiesa","True","False"))</f>
        <v>Not applicable</v>
      </c>
    </row>
    <row r="20" spans="2:8" ht="44.35" customHeight="1">
      <c r="B20" s="463" t="s">
        <v>270</v>
      </c>
      <c r="C20" s="466" t="s">
        <v>193</v>
      </c>
      <c r="D20" s="436" t="s">
        <v>194</v>
      </c>
      <c r="E20" s="436"/>
      <c r="F20" s="145" t="str">
        <f>IF(F52+eps&lt;0,"Tiesa","Netiesa")</f>
        <v>Tiesa</v>
      </c>
      <c r="G20" s="126" t="str">
        <f>IF(G52&lt;0,"Tiesa","Netiesa")</f>
        <v>Tiesa</v>
      </c>
    </row>
    <row r="21" spans="2:8" ht="20.25" customHeight="1">
      <c r="B21" s="464"/>
      <c r="C21" s="467"/>
      <c r="D21" s="437"/>
      <c r="E21" s="437"/>
      <c r="F21" s="155" t="str">
        <f>CONCATENATE(FIXED(F52,1),IF(F20="Tiesa"," &lt; "," ≥ "),FIXED(0,1))</f>
        <v>-0,4 &lt; 0,0</v>
      </c>
      <c r="G21" s="127" t="str">
        <f>CONCATENATE(FIXED(G52,1),IF(G20="Tiesa"," &lt; "," ≥ "),FIXED(0,1))</f>
        <v>0,0 &lt; 0,0</v>
      </c>
    </row>
    <row r="22" spans="2:8" ht="48.1" customHeight="1" thickBot="1">
      <c r="B22" s="465"/>
      <c r="C22" s="207" t="s">
        <v>195</v>
      </c>
      <c r="D22" s="438"/>
      <c r="E22" s="438"/>
      <c r="F22" s="154" t="str">
        <f>IF(F20="Tiesa","True","False")</f>
        <v>True</v>
      </c>
      <c r="G22" s="128" t="str">
        <f>IF(G20="Tiesa","True","False")</f>
        <v>True</v>
      </c>
    </row>
    <row r="23" spans="2:8" ht="21.75" customHeight="1">
      <c r="B23" s="444" t="s">
        <v>196</v>
      </c>
      <c r="C23" s="429" t="s">
        <v>259</v>
      </c>
      <c r="D23" s="441"/>
      <c r="E23" s="441"/>
      <c r="F23" s="157" t="str">
        <f>+IF((OR(F8="Tiesa",F11="Tiesa",F14="Tiesa",F20="Tiesa")),"Taip","Ne")</f>
        <v>Taip</v>
      </c>
      <c r="G23" s="122" t="str">
        <f>+IF((OR(G8="Tiesa",G11="Tiesa",G14="Tiesa",G20="Tiesa")),"Taip","Ne")</f>
        <v>Taip</v>
      </c>
      <c r="H23" s="32"/>
    </row>
    <row r="24" spans="2:8" ht="45.7" customHeight="1">
      <c r="B24" s="445"/>
      <c r="C24" s="430"/>
      <c r="D24" s="473"/>
      <c r="E24" s="473"/>
      <c r="F24" s="158" t="str">
        <f>IF(F23="Taip",CONCATENATE("Susidaro ", IF(F64=1,CONCATENATE(H64," "),""),IF(F65=1,CONCATENATE(H65," "),""),IF(F66=1,CONCATENATE(H66," "),""),IF(F67=1,CONCATENATE(H67," "),""),IF(F68=1,CONCATENATE(H68," "),""),IF(F69=1,"aplinkybė","aplinkybės")),"Išimčių nėra")</f>
        <v>Susidaro A5 aplinkybė</v>
      </c>
      <c r="G24" s="123" t="str">
        <f>IF(G23="Taip",CONCATENATE("Susidaro ", IF(G64=1,CONCATENATE(I64," "),""),IF(G65=1,CONCATENATE(I65," "),""),IF(G66=1,CONCATENATE(I66," "),""),IF(G67=1,CONCATENATE(I67," "),""),IF(G68=1,CONCATENATE(I68," "),""),IF(G69=1,"aplinkybė","aplinkybės")),"Išimčių nėra")</f>
        <v>Susidaro A5 aplinkybė</v>
      </c>
    </row>
    <row r="25" spans="2:8" ht="18" customHeight="1">
      <c r="B25" s="445"/>
      <c r="C25" s="461" t="s">
        <v>197</v>
      </c>
      <c r="D25" s="473"/>
      <c r="E25" s="473"/>
      <c r="F25" s="159" t="str">
        <f>IF(F23="Taip","Yes","No")</f>
        <v>Yes</v>
      </c>
      <c r="G25" s="132" t="str">
        <f>IF(G23="Taip","Yes","No")</f>
        <v>Yes</v>
      </c>
    </row>
    <row r="26" spans="2:8" ht="55.55" customHeight="1" thickBot="1">
      <c r="B26" s="446"/>
      <c r="C26" s="474"/>
      <c r="D26" s="442"/>
      <c r="E26" s="442"/>
      <c r="F26" s="147" t="str">
        <f>IF(F25="Yes",CONCATENATE(IF(F69=1,"Escape clause ","Escape clauses "), IF(F64=1,CONCATENATE(H64," "),""),IF(F65=1,CONCATENATE(H65," "),""),IF(F66=1,CONCATENATE(H66," "),""),IF(F67=1,CONCATENATE(H67," "),""),IF(F68=1,CONCATENATE(H68," "),""),"emerge"),"No escape clauses emerge")</f>
        <v>Escape clause A5 emerge</v>
      </c>
      <c r="G26" s="133" t="str">
        <f>IF(G25="Yes",CONCATENATE(IF(G69=1,"Escape clause ","Escape clauses "), IF(G64=1,CONCATENATE(I64," "),""),IF(G65=1,CONCATENATE(I65," "),""),IF(G66=1,CONCATENATE(I66," "),""),IF(G67=1,CONCATENATE(I67," "),""),IF(G68=1,CONCATENATE(I68," "),""),"emerge"),"No escape clauses emerge")</f>
        <v>Escape clause A5 emerge</v>
      </c>
    </row>
    <row r="27" spans="2:8" ht="33.799999999999997" customHeight="1" thickBot="1">
      <c r="B27" s="162" t="s">
        <v>255</v>
      </c>
      <c r="C27" s="163" t="s">
        <v>256</v>
      </c>
      <c r="D27" s="470" t="s">
        <v>257</v>
      </c>
      <c r="E27" s="471"/>
      <c r="F27" s="468" t="s">
        <v>258</v>
      </c>
      <c r="G27" s="469"/>
      <c r="H27" s="33"/>
    </row>
    <row r="28" spans="2:8" ht="32.299999999999997" customHeight="1">
      <c r="B28" s="444" t="s">
        <v>271</v>
      </c>
      <c r="C28" s="472" t="s">
        <v>198</v>
      </c>
      <c r="D28" s="225"/>
      <c r="E28" s="226"/>
      <c r="F28" s="151" t="str">
        <f>IF((F23="Taip"),"",IF(AVERAGE('2. Macro'!G36:K36)+eps&lt;0,"Tiesa","Netiesa"))</f>
        <v/>
      </c>
      <c r="G28" s="134" t="str">
        <f>IF((G23="Taip"),"",IF(AVERAGE('2. Macro'!G35:K35)+eps&lt;0,"Tiesa","Netiesa"))</f>
        <v/>
      </c>
    </row>
    <row r="29" spans="2:8" ht="15.8" customHeight="1">
      <c r="B29" s="445"/>
      <c r="C29" s="472"/>
      <c r="D29" s="87" t="s">
        <v>199</v>
      </c>
      <c r="E29" s="227"/>
      <c r="F29" s="106" t="str">
        <f>IF((F23="Taip"),"",CONCATENATE(FIXED(AVERAGE('2. Macro'!G36:K36),1),IF(F28="Tiesa"," &lt; "," ≥ "),FIXED(0,1)))</f>
        <v/>
      </c>
      <c r="G29" s="135" t="str">
        <f>IF((G23="Taip"),"",CONCATENATE(FIXED(AVERAGE('2. Macro'!G35:K35),1),IF(G28="Tiesa"," &lt; "," ≥ "),FIXED(0,1)))</f>
        <v/>
      </c>
    </row>
    <row r="30" spans="2:8" ht="18" customHeight="1" thickBot="1">
      <c r="B30" s="445"/>
      <c r="C30" s="472"/>
      <c r="D30" s="87"/>
      <c r="E30" s="227"/>
      <c r="F30" s="152" t="str">
        <f>IF(F25="Yes","",IF(F28="Tiesa","True","False"))</f>
        <v/>
      </c>
      <c r="G30" s="136" t="str">
        <f>IF(G25="Yes","",IF(G28="Tiesa","True","False"))</f>
        <v/>
      </c>
    </row>
    <row r="31" spans="2:8" ht="23.95" customHeight="1">
      <c r="B31" s="445"/>
      <c r="C31" s="472"/>
      <c r="D31" s="225"/>
      <c r="E31" s="226"/>
      <c r="F31" s="151" t="str">
        <f>IF(OR(F23="Taip",F28="Netiesa",F6="Taip"),"Netaikoma", IF(F53&lt;=(F54)*(0.5*F56),"Tenkinama","Netenkinama"))</f>
        <v>Netaikoma</v>
      </c>
      <c r="G31" s="134" t="str">
        <f>IF(OR(G23="Taip",G28="Netiesa",F6="Taip"),"Netaikoma", IF(G53&lt;=(G54)*(0.5*G56),"Tenkinama","Netenkinama"))</f>
        <v>Netaikoma</v>
      </c>
    </row>
    <row r="32" spans="2:8" ht="68.95" customHeight="1">
      <c r="B32" s="445"/>
      <c r="C32" s="472"/>
      <c r="D32" s="87"/>
      <c r="E32" s="227"/>
      <c r="F32" s="106" t="str">
        <f>IF(F6="Taip", "Paskelbtos išskirtinės aplinkybės",IF(F23="Taip",IF(F69=1,"Susidarė viena iš KĮ numatytų netaikymo aplinkybių","Susidarė KĮ numatytos netaikymo aplinkybės"),CONCATENATE(ROUND(($G$39-F41)/($G$40-F42),3),IF(F31="Tiesa"," ≤ "," &gt; "), ROUND(0.5*F56,3))))</f>
        <v>Susidarė viena iš KĮ numatytų netaikymo aplinkybių</v>
      </c>
      <c r="G32" s="137" t="str">
        <f>IF(F6="Taip", "Paskelbtos išskirtinės aplinkybės",IF(G23="Taip",IF(G69=1,"Susidarė viena iš KĮ numatytų netaikymo aplinkybių","Susidarė KĮ numatytos netaikymo aplinkybės"),CONCATENATE(ROUND(G55,3),IF(G31="Tenkinama"," ≤ "," &gt; "), ROUND(0.5*G56,3))))</f>
        <v>Susidarė viena iš KĮ numatytų netaikymo aplinkybių</v>
      </c>
    </row>
    <row r="33" spans="2:11" ht="21.1" customHeight="1">
      <c r="B33" s="445"/>
      <c r="C33" s="475" t="s">
        <v>327</v>
      </c>
      <c r="D33" s="87"/>
      <c r="E33" s="227"/>
      <c r="F33" s="153" t="str">
        <f>IF(F31="Netaikoma","Not applied",IF(F31="Tiesa","True","False"))</f>
        <v>Not applied</v>
      </c>
      <c r="G33" s="138" t="str">
        <f>IF(G31="Netaikoma","Not applied",IF(G31="Tenkinama","True","False"))</f>
        <v>Not applied</v>
      </c>
    </row>
    <row r="34" spans="2:11" ht="70.5" customHeight="1" thickBot="1">
      <c r="B34" s="457"/>
      <c r="C34" s="476"/>
      <c r="D34" s="228"/>
      <c r="E34" s="229"/>
      <c r="F34" s="230" t="str">
        <f>IF(F7="Yes","Exceptional Circumstances",IF(F25="Yes",IF(F69=1,"CL escape clause emerged","CL escape clauses emerged"),""))</f>
        <v>CL escape clause emerged</v>
      </c>
      <c r="G34" s="231" t="str">
        <f>IF(F7="Yes","Exceptional Circumstances",IF(G25="Yes",IF(G69=1,"CL escape clause emerged","CL escape clauses emerged"),""))</f>
        <v>CL escape clause emerged</v>
      </c>
    </row>
    <row r="35" spans="2:11" ht="28.55" customHeight="1" thickTop="1">
      <c r="B35" s="56"/>
      <c r="C35" s="420" t="s">
        <v>332</v>
      </c>
      <c r="D35" s="420"/>
      <c r="E35" s="420"/>
      <c r="F35" s="232"/>
      <c r="G35" s="232"/>
    </row>
    <row r="36" spans="2:11" ht="28.55" customHeight="1">
      <c r="B36" s="56"/>
      <c r="C36" s="443" t="s">
        <v>333</v>
      </c>
      <c r="D36" s="443"/>
      <c r="E36" s="443"/>
      <c r="F36" s="232"/>
      <c r="G36" s="232"/>
    </row>
    <row r="37" spans="2:11" ht="18.7" customHeight="1" thickBot="1">
      <c r="B37" s="56"/>
      <c r="C37" s="210" t="s">
        <v>200</v>
      </c>
      <c r="D37" s="233"/>
      <c r="E37" s="233"/>
      <c r="F37" s="232"/>
      <c r="G37" s="232"/>
    </row>
    <row r="38" spans="2:11" ht="14.95" customHeight="1" thickTop="1" thickBot="1">
      <c r="B38" s="56"/>
      <c r="C38" s="213" t="s">
        <v>201</v>
      </c>
      <c r="D38" s="232"/>
      <c r="E38" s="20"/>
      <c r="F38" s="494">
        <v>2026</v>
      </c>
      <c r="G38" s="495"/>
    </row>
    <row r="39" spans="2:11" ht="14.95" thickBot="1">
      <c r="B39" s="56"/>
      <c r="C39" s="234"/>
      <c r="D39" s="232"/>
      <c r="E39" s="214" t="s">
        <v>202</v>
      </c>
      <c r="F39" s="291">
        <f>'3. GGbudget'!F21</f>
        <v>35444.841</v>
      </c>
      <c r="G39" s="292">
        <f>'3. GGbudget'!H21</f>
        <v>35444.841</v>
      </c>
      <c r="H39" s="55"/>
    </row>
    <row r="40" spans="2:11" ht="14.95" customHeight="1" thickBot="1">
      <c r="B40" s="56"/>
      <c r="C40" s="232"/>
      <c r="D40" s="232"/>
      <c r="E40" s="214" t="s">
        <v>203</v>
      </c>
      <c r="F40" s="291">
        <f>'3. GGbudget'!E21</f>
        <v>30460.447199999995</v>
      </c>
      <c r="G40" s="292">
        <f>'3. GGbudget'!G21</f>
        <v>30460.447199999995</v>
      </c>
      <c r="H40" s="55"/>
    </row>
    <row r="41" spans="2:11" ht="14.3" thickBot="1">
      <c r="B41" s="56"/>
      <c r="C41" s="232"/>
      <c r="D41" s="232"/>
      <c r="E41" s="214" t="s">
        <v>204</v>
      </c>
      <c r="F41" s="500">
        <v>3684.8409999999999</v>
      </c>
      <c r="G41" s="501"/>
      <c r="H41" s="37"/>
    </row>
    <row r="42" spans="2:11" ht="14.3" thickBot="1">
      <c r="B42" s="56"/>
      <c r="C42" s="232"/>
      <c r="D42" s="232"/>
      <c r="E42" s="214" t="s">
        <v>205</v>
      </c>
      <c r="F42" s="502">
        <v>3590.2954</v>
      </c>
      <c r="G42" s="503"/>
      <c r="H42" s="37"/>
    </row>
    <row r="43" spans="2:11" ht="14.3" thickBot="1">
      <c r="B43" s="56"/>
      <c r="C43" s="211"/>
      <c r="D43" s="235"/>
      <c r="E43" s="214" t="s">
        <v>206</v>
      </c>
      <c r="F43" s="293">
        <f>'3. GGbudget'!F15</f>
        <v>38120.1</v>
      </c>
      <c r="G43" s="292">
        <f>'3. GGbudget'!H15</f>
        <v>37971.319153847311</v>
      </c>
      <c r="H43" s="37"/>
    </row>
    <row r="44" spans="2:11" ht="14.3" thickBot="1">
      <c r="B44" s="56"/>
      <c r="C44" s="211"/>
      <c r="D44" s="235"/>
      <c r="E44" s="214" t="s">
        <v>207</v>
      </c>
      <c r="F44" s="293">
        <f>'3. GGbudget'!E15</f>
        <v>34683.4</v>
      </c>
      <c r="G44" s="292">
        <f>'3. GGbudget'!G15</f>
        <v>34448.453599516477</v>
      </c>
      <c r="H44" s="37"/>
    </row>
    <row r="45" spans="2:11" ht="14.3" thickBot="1">
      <c r="B45" s="56"/>
      <c r="C45" s="211"/>
      <c r="D45" s="235"/>
      <c r="E45" s="214" t="s">
        <v>208</v>
      </c>
      <c r="F45" s="291">
        <f>'2. Macro'!M36-'2. Macro'!L36</f>
        <v>1.2907825297348035</v>
      </c>
      <c r="G45" s="174">
        <f>'2. Macro'!M35-'2. Macro'!L35</f>
        <v>1.2907825297348035</v>
      </c>
    </row>
    <row r="46" spans="2:11" ht="14.3" thickBot="1">
      <c r="B46" s="56"/>
      <c r="C46" s="236"/>
      <c r="D46" s="235"/>
      <c r="E46" s="214" t="s">
        <v>209</v>
      </c>
      <c r="F46" s="291">
        <f>('2. Macro'!M36-'2. Macro'!L36)-('2. Macro'!M36-'2. Macro'!L36)</f>
        <v>0</v>
      </c>
      <c r="G46" s="174">
        <f>('2. Macro'!M35-'2. Macro'!L35)-('2. Macro'!M35-'2. Macro'!L35)</f>
        <v>0</v>
      </c>
    </row>
    <row r="47" spans="2:11" ht="14.95" customHeight="1" thickBot="1">
      <c r="B47" s="56"/>
      <c r="C47" s="237" t="s">
        <v>325</v>
      </c>
      <c r="D47" s="235"/>
      <c r="E47" s="237" t="s">
        <v>210</v>
      </c>
      <c r="F47" s="496">
        <v>1.0329999999999999</v>
      </c>
      <c r="G47" s="497"/>
      <c r="I47" s="504" t="s">
        <v>326</v>
      </c>
      <c r="J47" s="504"/>
      <c r="K47" s="504"/>
    </row>
    <row r="48" spans="2:11" ht="14.95" customHeight="1" thickBot="1">
      <c r="B48" s="56"/>
      <c r="C48" s="237" t="s">
        <v>316</v>
      </c>
      <c r="D48" s="235"/>
      <c r="E48" s="237" t="s">
        <v>211</v>
      </c>
      <c r="F48" s="496">
        <v>1.028</v>
      </c>
      <c r="G48" s="497"/>
      <c r="I48" s="504" t="s">
        <v>320</v>
      </c>
      <c r="J48" s="504"/>
      <c r="K48" s="504"/>
    </row>
    <row r="49" spans="2:11" ht="14.95" customHeight="1" thickBot="1">
      <c r="B49" s="56"/>
      <c r="C49" s="237" t="s">
        <v>328</v>
      </c>
      <c r="D49" s="235"/>
      <c r="E49" s="237" t="s">
        <v>212</v>
      </c>
      <c r="F49" s="498">
        <v>1.024</v>
      </c>
      <c r="G49" s="499"/>
      <c r="I49" s="504" t="s">
        <v>334</v>
      </c>
      <c r="J49" s="504"/>
      <c r="K49" s="504"/>
    </row>
    <row r="50" spans="2:11" ht="14.95" customHeight="1" thickBot="1">
      <c r="B50" s="56"/>
      <c r="C50" s="237" t="s">
        <v>317</v>
      </c>
      <c r="D50" s="235"/>
      <c r="E50" s="237" t="s">
        <v>213</v>
      </c>
      <c r="F50" s="498">
        <v>1.022</v>
      </c>
      <c r="G50" s="499"/>
      <c r="I50" s="504" t="s">
        <v>319</v>
      </c>
      <c r="J50" s="504"/>
      <c r="K50" s="504"/>
    </row>
    <row r="51" spans="2:11" ht="14.95" customHeight="1" thickBot="1">
      <c r="B51" s="56"/>
      <c r="C51" s="238" t="s">
        <v>331</v>
      </c>
      <c r="D51" s="235"/>
      <c r="E51" s="237" t="s">
        <v>214</v>
      </c>
      <c r="F51" s="291">
        <v>6.9175448803019624</v>
      </c>
      <c r="G51" s="174">
        <v>6.9175448803019624</v>
      </c>
      <c r="H51" s="53"/>
      <c r="I51" s="504" t="s">
        <v>335</v>
      </c>
      <c r="J51" s="504"/>
      <c r="K51" s="504"/>
    </row>
    <row r="52" spans="2:11" ht="14.95" customHeight="1" thickBot="1">
      <c r="B52" s="56"/>
      <c r="C52" s="20"/>
      <c r="D52" s="235"/>
      <c r="E52" s="214" t="s">
        <v>215</v>
      </c>
      <c r="F52" s="291">
        <f>'2. Macro'!N20</f>
        <v>-0.41962124409199442</v>
      </c>
      <c r="G52" s="174">
        <f>'2. Macro'!N19</f>
        <v>-3.0596915507008493E-2</v>
      </c>
    </row>
    <row r="53" spans="2:11" ht="14.95" customHeight="1" thickBot="1">
      <c r="B53" s="56"/>
      <c r="C53" s="20"/>
      <c r="D53" s="214"/>
      <c r="E53" s="214" t="s">
        <v>216</v>
      </c>
      <c r="F53" s="294">
        <f>F39-F41</f>
        <v>31760</v>
      </c>
      <c r="G53" s="295">
        <f>+G39-F41</f>
        <v>31760</v>
      </c>
      <c r="H53" s="55"/>
      <c r="I53" s="53"/>
    </row>
    <row r="54" spans="2:11" ht="14.95" customHeight="1" thickBot="1">
      <c r="B54" s="56"/>
      <c r="C54" s="20"/>
      <c r="D54" s="214"/>
      <c r="E54" s="214" t="s">
        <v>217</v>
      </c>
      <c r="F54" s="294">
        <f>F40-F42</f>
        <v>26870.151799999996</v>
      </c>
      <c r="G54" s="295">
        <f>+G40-$F$42</f>
        <v>26870.151799999996</v>
      </c>
      <c r="H54" s="37"/>
      <c r="I54" s="53"/>
    </row>
    <row r="55" spans="2:11" ht="14.95" customHeight="1" thickBot="1">
      <c r="B55" s="56"/>
      <c r="C55" s="20"/>
      <c r="D55" s="214"/>
      <c r="E55" s="214" t="s">
        <v>218</v>
      </c>
      <c r="F55" s="294">
        <f>+(F53/F54-1)*100</f>
        <v>18.198066897411437</v>
      </c>
      <c r="G55" s="295">
        <f>+(G53/G54-1)*100</f>
        <v>18.198066897411437</v>
      </c>
      <c r="H55" s="37"/>
      <c r="I55" s="45"/>
    </row>
    <row r="56" spans="2:11" s="8" customFormat="1" ht="18.350000000000001" thickBot="1">
      <c r="B56" s="56"/>
      <c r="C56" s="20"/>
      <c r="D56" s="214"/>
      <c r="E56" s="214" t="s">
        <v>219</v>
      </c>
      <c r="F56" s="296">
        <f>(POWER('2. Macro'!P16/'2. Macro'!F16,0.1)*POWER(PRODUCT(F47:F50),0.25)-1)*100</f>
        <v>5.9364666955048939</v>
      </c>
      <c r="G56" s="297">
        <f>(POWER('2. Macro'!P15/'2. Macro'!F15,0.1)*POWER(PRODUCT(F47:F50),0.25)-1)*100</f>
        <v>5.8473341362857312</v>
      </c>
      <c r="H56" s="37"/>
      <c r="I56" s="53"/>
    </row>
    <row r="57" spans="2:11" s="8" customFormat="1" ht="14.3" hidden="1" thickBot="1">
      <c r="B57" s="56"/>
      <c r="C57" s="20"/>
      <c r="D57" s="214"/>
      <c r="E57" s="214" t="s">
        <v>250</v>
      </c>
      <c r="F57" s="239"/>
      <c r="G57" s="240"/>
      <c r="H57" s="45"/>
      <c r="I57" s="45"/>
    </row>
    <row r="58" spans="2:11" s="8" customFormat="1" ht="14.3" hidden="1" thickBot="1">
      <c r="B58" s="56"/>
      <c r="C58" s="20"/>
      <c r="D58" s="214"/>
      <c r="E58" s="214" t="s">
        <v>251</v>
      </c>
      <c r="F58" s="241"/>
      <c r="G58" s="242"/>
      <c r="H58" s="45"/>
    </row>
    <row r="59" spans="2:11" s="8" customFormat="1" ht="14.3" thickTop="1">
      <c r="B59" s="56"/>
      <c r="C59" s="20"/>
      <c r="D59" s="214"/>
      <c r="E59" s="214"/>
      <c r="F59" s="243"/>
      <c r="G59" s="243"/>
    </row>
    <row r="60" spans="2:11" s="8" customFormat="1" ht="14.3" thickBot="1">
      <c r="B60" s="56"/>
      <c r="C60" s="20"/>
      <c r="D60" s="214"/>
      <c r="E60" s="214" t="s">
        <v>43</v>
      </c>
      <c r="F60" s="214"/>
      <c r="G60" s="244"/>
      <c r="H60" s="44" t="s">
        <v>44</v>
      </c>
    </row>
    <row r="61" spans="2:11" s="8" customFormat="1" ht="14.95" thickTop="1" thickBot="1">
      <c r="B61" s="56"/>
      <c r="C61" s="20"/>
      <c r="D61" s="214"/>
      <c r="E61" s="214" t="s">
        <v>45</v>
      </c>
      <c r="F61" s="489" t="s">
        <v>23</v>
      </c>
      <c r="G61" s="490"/>
      <c r="H61" s="44" t="s">
        <v>46</v>
      </c>
    </row>
    <row r="62" spans="2:11" s="8" customFormat="1" ht="14.3" thickBot="1">
      <c r="B62" s="56"/>
      <c r="C62" s="20"/>
      <c r="D62" s="214"/>
      <c r="E62" s="214" t="s">
        <v>47</v>
      </c>
      <c r="F62" s="491" t="s">
        <v>24</v>
      </c>
      <c r="G62" s="411"/>
      <c r="H62" s="38" t="s">
        <v>48</v>
      </c>
    </row>
    <row r="63" spans="2:11" s="8" customFormat="1" ht="14.3" thickBot="1">
      <c r="B63" s="56"/>
      <c r="C63" s="20"/>
      <c r="D63" s="214"/>
      <c r="E63" s="214" t="s">
        <v>220</v>
      </c>
      <c r="F63" s="492" t="s">
        <v>221</v>
      </c>
      <c r="G63" s="493"/>
      <c r="H63" s="44" t="s">
        <v>222</v>
      </c>
    </row>
    <row r="64" spans="2:11" s="8" customFormat="1" ht="14.3" thickTop="1">
      <c r="B64" s="245"/>
      <c r="C64" s="222"/>
      <c r="D64" s="246" t="s">
        <v>223</v>
      </c>
      <c r="E64" s="246"/>
      <c r="F64" s="247">
        <f>IF(F8="Tiesa",1,0)</f>
        <v>0</v>
      </c>
      <c r="G64" s="247">
        <f>IF(G8="Tiesa",1,0)</f>
        <v>0</v>
      </c>
      <c r="H64" s="42" t="str">
        <f>IF(F64=1,$D64,"")</f>
        <v/>
      </c>
      <c r="I64" s="42" t="str">
        <f>IF(G64=1,$D64,"")</f>
        <v/>
      </c>
    </row>
    <row r="65" spans="2:9">
      <c r="B65" s="245"/>
      <c r="C65" s="222"/>
      <c r="D65" s="246" t="s">
        <v>224</v>
      </c>
      <c r="E65" s="246"/>
      <c r="F65" s="247">
        <f>IF(F11="Tiesa",1,0)</f>
        <v>0</v>
      </c>
      <c r="G65" s="247">
        <f>IF(G11="Tiesa",1,0)</f>
        <v>0</v>
      </c>
      <c r="H65" s="42" t="str">
        <f>IF(F65=1,$D65,"")</f>
        <v/>
      </c>
      <c r="I65" s="42" t="str">
        <f t="shared" ref="H65:I68" si="0">IF(G65=1,$D65,"")</f>
        <v/>
      </c>
    </row>
    <row r="66" spans="2:9" ht="14.3" customHeight="1">
      <c r="B66" s="56"/>
      <c r="C66" s="248"/>
      <c r="D66" s="246" t="s">
        <v>225</v>
      </c>
      <c r="E66" s="246"/>
      <c r="F66" s="247">
        <f>IF(F14="Tiesa",1,0)</f>
        <v>0</v>
      </c>
      <c r="G66" s="247">
        <f>IF(G14="Tiesa",1,0)</f>
        <v>0</v>
      </c>
      <c r="H66" s="42" t="str">
        <f>IF(F66=1,$D66,"")</f>
        <v/>
      </c>
      <c r="I66" s="42" t="str">
        <f t="shared" si="0"/>
        <v/>
      </c>
    </row>
    <row r="67" spans="2:9">
      <c r="D67" s="42" t="s">
        <v>226</v>
      </c>
      <c r="E67" s="42"/>
      <c r="F67" s="47">
        <f>IF(F17="Tiesa",1,0)</f>
        <v>0</v>
      </c>
      <c r="G67" s="47">
        <f>IF(G17="Tiesa",1,0)</f>
        <v>0</v>
      </c>
      <c r="H67" s="42" t="str">
        <f t="shared" si="0"/>
        <v/>
      </c>
      <c r="I67" s="42" t="str">
        <f t="shared" si="0"/>
        <v/>
      </c>
    </row>
    <row r="68" spans="2:9">
      <c r="D68" s="42" t="s">
        <v>227</v>
      </c>
      <c r="E68" s="42"/>
      <c r="F68" s="47">
        <f>IF(F20="Tiesa",1,0)</f>
        <v>1</v>
      </c>
      <c r="G68" s="47">
        <f>IF(G20="Tiesa",1,0)</f>
        <v>1</v>
      </c>
      <c r="H68" s="42" t="str">
        <f t="shared" si="0"/>
        <v>A5</v>
      </c>
      <c r="I68" s="42" t="str">
        <f>IF(G68=1,$D68,"")</f>
        <v>A5</v>
      </c>
    </row>
    <row r="69" spans="2:9">
      <c r="D69" s="42"/>
      <c r="E69" s="42"/>
      <c r="F69" s="47">
        <f>SUM(F64:F68)</f>
        <v>1</v>
      </c>
      <c r="G69" s="47">
        <f>SUM(G64:G68)</f>
        <v>1</v>
      </c>
      <c r="H69" s="42"/>
      <c r="I69" s="42"/>
    </row>
    <row r="70" spans="2:9">
      <c r="D70" s="42"/>
      <c r="E70" s="42"/>
      <c r="F70" s="42"/>
      <c r="G70" s="42"/>
      <c r="H70" s="42"/>
      <c r="I70" s="42"/>
    </row>
  </sheetData>
  <mergeCells count="50">
    <mergeCell ref="I47:K47"/>
    <mergeCell ref="I48:K48"/>
    <mergeCell ref="I49:K49"/>
    <mergeCell ref="I50:K50"/>
    <mergeCell ref="I51:K51"/>
    <mergeCell ref="F61:G61"/>
    <mergeCell ref="F62:G62"/>
    <mergeCell ref="F63:G63"/>
    <mergeCell ref="F38:G38"/>
    <mergeCell ref="F48:G48"/>
    <mergeCell ref="F49:G49"/>
    <mergeCell ref="F50:G50"/>
    <mergeCell ref="F47:G47"/>
    <mergeCell ref="F41:G41"/>
    <mergeCell ref="F42:G42"/>
    <mergeCell ref="C36:E36"/>
    <mergeCell ref="C8:C9"/>
    <mergeCell ref="C35:E35"/>
    <mergeCell ref="B1:C1"/>
    <mergeCell ref="B3:G3"/>
    <mergeCell ref="D4:E4"/>
    <mergeCell ref="F4:G4"/>
    <mergeCell ref="D8:E10"/>
    <mergeCell ref="B8:B10"/>
    <mergeCell ref="B11:B13"/>
    <mergeCell ref="D11:E13"/>
    <mergeCell ref="B14:B16"/>
    <mergeCell ref="D14:E16"/>
    <mergeCell ref="C11:C12"/>
    <mergeCell ref="C14:C15"/>
    <mergeCell ref="B5:E5"/>
    <mergeCell ref="C28:C32"/>
    <mergeCell ref="B23:B26"/>
    <mergeCell ref="D23:E26"/>
    <mergeCell ref="C23:C24"/>
    <mergeCell ref="C25:C26"/>
    <mergeCell ref="B28:B34"/>
    <mergeCell ref="C33:C34"/>
    <mergeCell ref="C20:C21"/>
    <mergeCell ref="D20:E22"/>
    <mergeCell ref="B20:B22"/>
    <mergeCell ref="C17:C18"/>
    <mergeCell ref="F27:G27"/>
    <mergeCell ref="D27:E27"/>
    <mergeCell ref="B6:B7"/>
    <mergeCell ref="D6:E7"/>
    <mergeCell ref="F6:G6"/>
    <mergeCell ref="F7:G7"/>
    <mergeCell ref="B17:B19"/>
    <mergeCell ref="D17:E19"/>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0"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21"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F9:F10</xm:sqref>
        </x14:conditionalFormatting>
        <x14:conditionalFormatting xmlns:xm="http://schemas.microsoft.com/office/excel/2006/main">
          <x14:cfRule type="iconSet" priority="22"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F11:F13</xm:sqref>
        </x14:conditionalFormatting>
        <x14:conditionalFormatting xmlns:xm="http://schemas.microsoft.com/office/excel/2006/main">
          <x14:cfRule type="iconSet" priority="19"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F14:F15</xm:sqref>
        </x14:conditionalFormatting>
        <x14:conditionalFormatting xmlns:xm="http://schemas.microsoft.com/office/excel/2006/main">
          <x14:cfRule type="iconSet" priority="4" id="{FF51D037-EB06-4BF3-8B74-3B0ADEDDC26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3" id="{1A250BF7-AA6E-46D9-B5C4-D125B630174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 xmlns:xm="http://schemas.microsoft.com/office/excel/2006/main">
          <x14:cfRule type="iconSet" priority="5" id="{8FA66A3C-9B93-4766-8B10-4D7BCF482E2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xm:sqref>
        </x14:conditionalFormatting>
        <x14:conditionalFormatting xmlns:xm="http://schemas.microsoft.com/office/excel/2006/main">
          <x14:cfRule type="iconSet" priority="20"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xm:sqref>
        </x14:conditionalFormatting>
        <x14:conditionalFormatting xmlns:xm="http://schemas.microsoft.com/office/excel/2006/main">
          <x14:cfRule type="iconSet" priority="7"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F21</xm:sqref>
        </x14:conditionalFormatting>
        <x14:conditionalFormatting xmlns:xm="http://schemas.microsoft.com/office/excel/2006/main">
          <x14:cfRule type="iconSet" priority="23"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F22:G22 G21</xm:sqref>
        </x14:conditionalFormatting>
        <x14:conditionalFormatting xmlns:xm="http://schemas.microsoft.com/office/excel/2006/main">
          <x14:cfRule type="iconSet" priority="11"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G8</xm:sqref>
        </x14:conditionalFormatting>
        <x14:conditionalFormatting xmlns:xm="http://schemas.microsoft.com/office/excel/2006/main">
          <x14:cfRule type="iconSet" priority="14"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7"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G11:G12</xm:sqref>
        </x14:conditionalFormatting>
        <x14:conditionalFormatting xmlns:xm="http://schemas.microsoft.com/office/excel/2006/main">
          <x14:cfRule type="iconSet" priority="18"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G13</xm:sqref>
        </x14:conditionalFormatting>
        <x14:conditionalFormatting xmlns:xm="http://schemas.microsoft.com/office/excel/2006/main">
          <x14:cfRule type="iconSet" priority="16"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G14:G15</xm:sqref>
        </x14:conditionalFormatting>
        <x14:conditionalFormatting xmlns:xm="http://schemas.microsoft.com/office/excel/2006/main">
          <x14:cfRule type="iconSet" priority="1" id="{D6528875-3EA9-4A09-BDCE-C3A750504A2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G17</xm:sqref>
        </x14:conditionalFormatting>
        <x14:conditionalFormatting xmlns:xm="http://schemas.microsoft.com/office/excel/2006/main">
          <x14:cfRule type="iconSet" priority="2" id="{DA4118A7-23A0-4047-9FF0-1589B4EACD8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G18:G19</xm:sqref>
        </x14:conditionalFormatting>
        <x14:conditionalFormatting xmlns:xm="http://schemas.microsoft.com/office/excel/2006/main">
          <x14:cfRule type="iconSet" priority="15"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theme="7"/>
  </sheetPr>
  <dimension ref="A1:H34"/>
  <sheetViews>
    <sheetView showGridLines="0" showRowColHeaders="0" zoomScaleNormal="100" workbookViewId="0"/>
  </sheetViews>
  <sheetFormatPr defaultColWidth="10" defaultRowHeight="13.6"/>
  <cols>
    <col min="1" max="1" width="3.625" style="1" customWidth="1"/>
    <col min="2" max="2" width="4.5" style="1" customWidth="1"/>
    <col min="3" max="3" width="102" style="1" customWidth="1"/>
    <col min="4" max="4" width="28.375" style="1" customWidth="1"/>
    <col min="5" max="5" width="21.125" style="1" customWidth="1"/>
    <col min="6" max="6" width="21.5" style="1" customWidth="1"/>
    <col min="7" max="16384" width="10" style="1"/>
  </cols>
  <sheetData>
    <row r="1" spans="1:6">
      <c r="B1" s="477" t="s">
        <v>19</v>
      </c>
      <c r="C1" s="477"/>
      <c r="D1" s="2"/>
    </row>
    <row r="2" spans="1:6" ht="14.3" thickBot="1">
      <c r="A2" s="8" t="s">
        <v>20</v>
      </c>
    </row>
    <row r="3" spans="1:6" ht="38.25" customHeight="1" thickTop="1" thickBot="1">
      <c r="B3" s="448" t="s">
        <v>312</v>
      </c>
      <c r="C3" s="449"/>
      <c r="D3" s="449"/>
      <c r="E3" s="449"/>
      <c r="F3" s="450"/>
    </row>
    <row r="4" spans="1:6" ht="41.45" thickBot="1">
      <c r="B4" s="177" t="s">
        <v>262</v>
      </c>
      <c r="C4" s="178" t="s">
        <v>263</v>
      </c>
      <c r="D4" s="178" t="s">
        <v>264</v>
      </c>
      <c r="E4" s="505" t="s">
        <v>265</v>
      </c>
      <c r="F4" s="506"/>
    </row>
    <row r="5" spans="1:6" ht="30.1" customHeight="1" thickBot="1">
      <c r="B5" s="453" t="s">
        <v>149</v>
      </c>
      <c r="C5" s="454"/>
      <c r="D5" s="454"/>
      <c r="E5" s="144" t="s">
        <v>23</v>
      </c>
      <c r="F5" s="139" t="s">
        <v>24</v>
      </c>
    </row>
    <row r="6" spans="1:6" ht="29.25" customHeight="1">
      <c r="A6" s="62"/>
      <c r="B6" s="445" t="s">
        <v>260</v>
      </c>
      <c r="C6" s="519" t="s">
        <v>243</v>
      </c>
      <c r="D6" s="525" t="s">
        <v>228</v>
      </c>
      <c r="E6" s="145" t="str">
        <f>IF(E24&gt;=0,"Tiesa","Netiesa")</f>
        <v>Tiesa</v>
      </c>
      <c r="F6" s="126" t="str">
        <f>IF(F24+eps&gt;=0,"Tiesa","Netiesa")</f>
        <v>Tiesa</v>
      </c>
    </row>
    <row r="7" spans="1:6" ht="29.25" customHeight="1">
      <c r="A7" s="62"/>
      <c r="B7" s="445"/>
      <c r="C7" s="520"/>
      <c r="D7" s="526"/>
      <c r="E7" s="106" t="str">
        <f>CONCATENATE(FIXED(E24,1),IF(E24=eps&gt;= 0," ≥ "," &lt; "),FIXED(0,1))</f>
        <v>0,0 ≥ 0,0</v>
      </c>
      <c r="F7" s="140" t="str">
        <f>CONCATENATE(FIXED(F24,1),IF(F24=eps&gt;= 0," ≥ "," &lt; "),FIXED(0,1))</f>
        <v>0,0 ≥ 0,0</v>
      </c>
    </row>
    <row r="8" spans="1:6" ht="35.35" customHeight="1" thickBot="1">
      <c r="A8" s="62"/>
      <c r="B8" s="445"/>
      <c r="C8" s="99" t="s">
        <v>229</v>
      </c>
      <c r="D8" s="527"/>
      <c r="E8" s="105" t="str">
        <f>IF(E6="Tiesa","True","False")</f>
        <v>True</v>
      </c>
      <c r="F8" s="128" t="str">
        <f>IF(F6="Tiesa","True","False")</f>
        <v>True</v>
      </c>
    </row>
    <row r="9" spans="1:6" ht="21.75" customHeight="1">
      <c r="A9" s="62"/>
      <c r="B9" s="445"/>
      <c r="C9" s="528" t="s">
        <v>321</v>
      </c>
      <c r="D9" s="529"/>
      <c r="E9" s="146" t="str">
        <f>IF(E6="Netiesa","Netenkinama","Tenkinama")</f>
        <v>Tenkinama</v>
      </c>
      <c r="F9" s="141" t="str">
        <f>IF(F6="Netiesa","Netenkinama","Tenkinama")</f>
        <v>Tenkinama</v>
      </c>
    </row>
    <row r="10" spans="1:6" ht="21.75" customHeight="1" thickBot="1">
      <c r="A10" s="62"/>
      <c r="B10" s="446"/>
      <c r="C10" s="521" t="s">
        <v>322</v>
      </c>
      <c r="D10" s="522"/>
      <c r="E10" s="147" t="str">
        <f>IF(E9="Tenkinama","Valid","Invalid ")</f>
        <v>Valid</v>
      </c>
      <c r="F10" s="142" t="str">
        <f>IF(F9="Tenkinama","Valid","Invalid ")</f>
        <v>Valid</v>
      </c>
    </row>
    <row r="11" spans="1:6" ht="17.350000000000001" customHeight="1">
      <c r="A11" s="62"/>
      <c r="B11" s="445" t="s">
        <v>261</v>
      </c>
      <c r="C11" s="523" t="s">
        <v>232</v>
      </c>
      <c r="D11" s="425" t="s">
        <v>233</v>
      </c>
      <c r="E11" s="145" t="str">
        <f>IF(E21+eps&lt;0, "Tiesa","Netiesa")</f>
        <v>Tiesa</v>
      </c>
      <c r="F11" s="126" t="str">
        <f>IF(F21&lt;0,"Tiesa","Netiesa")</f>
        <v>Tiesa</v>
      </c>
    </row>
    <row r="12" spans="1:6" ht="38.25" customHeight="1">
      <c r="A12" s="62"/>
      <c r="B12" s="445"/>
      <c r="C12" s="524"/>
      <c r="D12" s="511"/>
      <c r="E12" s="148" t="str">
        <f>CONCATENATE(FIXED(E21,1),IF(E21+eps&lt;0," &lt; "," ≥ "),FIXED(0,1))</f>
        <v>-0,4 &lt; 0,0</v>
      </c>
      <c r="F12" s="127" t="str">
        <f>CONCATENATE(FIXED(F21,1),IF(F21+eps&lt;0," &lt; "," ≥ "),FIXED(0,1))</f>
        <v>0,0 ≥ 0,0</v>
      </c>
    </row>
    <row r="13" spans="1:6" ht="21.1" customHeight="1" thickBot="1">
      <c r="A13" s="62"/>
      <c r="B13" s="445"/>
      <c r="C13" s="524"/>
      <c r="D13" s="511"/>
      <c r="E13" s="149" t="str">
        <f>IF(E11="Tiesa","True","False")</f>
        <v>True</v>
      </c>
      <c r="F13" s="143" t="str">
        <f>IF(F11="Tiesa","True","False")</f>
        <v>True</v>
      </c>
    </row>
    <row r="14" spans="1:6" ht="18.7" customHeight="1">
      <c r="A14" s="62"/>
      <c r="B14" s="445"/>
      <c r="C14" s="509" t="s">
        <v>234</v>
      </c>
      <c r="D14" s="511" t="s">
        <v>235</v>
      </c>
      <c r="E14" s="150" t="str">
        <f>IF(OR((E21&gt;=0)*(E22&gt;=0),(E21&gt;=0)*(E22&gt;=E23)),"Tiesa","Netiesa")</f>
        <v>Netiesa</v>
      </c>
      <c r="F14" s="126" t="str">
        <f>IF(OR((F21&gt;=0)*(F22&gt;=0),(F21&gt;=0)*(F22&gt;=F23)),"Tiesa","Netiesa")</f>
        <v>Netiesa</v>
      </c>
    </row>
    <row r="15" spans="1:6" ht="47.25" customHeight="1">
      <c r="A15" s="62"/>
      <c r="B15" s="445"/>
      <c r="C15" s="509"/>
      <c r="D15" s="511"/>
      <c r="E15" s="106" t="str">
        <f>CONCATENATE(FIXED(E21,1),,IF(E21&lt;0," &lt; "," ≥ "),FIXED(0,1), " &amp;
","(",
 FIXED(E22,1),IF(E22&gt;=E23," ≥ "," &lt; "), FIXED(E23,1), " arba / or ",FIXED(E22,1),IF(E22&lt;0," &lt; "," ≥ "),FIXED(0,1),")")</f>
        <v>-0,4 &lt; 0,0 &amp;
(1,7 ≥ 1,3 arba / or 1,7 ≥ 0,0)</v>
      </c>
      <c r="F15" s="127" t="str">
        <f>CONCATENATE(FIXED(F21,1),,IF(F21&lt;0," &lt; "," ≥ "),FIXED(0,1), " &amp;
","(", FIXED(F22,1),IF(F22&gt;=F23," ≥ "," &lt; "), FIXED(F23,1), " arba / or ",FIXED(F22,1),IF(F22&lt;0," &lt; "," ≥ "),FIXED(0,1),")")</f>
        <v>0,0 &lt; 0,0 &amp;
(1,7 ≥ 1,3 arba / or 1,7 ≥ 0,0)</v>
      </c>
    </row>
    <row r="16" spans="1:6" ht="18" customHeight="1" thickBot="1">
      <c r="A16" s="62"/>
      <c r="B16" s="445"/>
      <c r="C16" s="510"/>
      <c r="D16" s="512"/>
      <c r="E16" s="105" t="str">
        <f>IF(E14="Tiesa","True","False")</f>
        <v>False</v>
      </c>
      <c r="F16" s="120" t="str">
        <f>IF(F14="Tiesa","True","False")</f>
        <v>False</v>
      </c>
    </row>
    <row r="17" spans="1:8" ht="21.1" customHeight="1">
      <c r="A17" s="62"/>
      <c r="B17" s="445"/>
      <c r="C17" s="515" t="s">
        <v>323</v>
      </c>
      <c r="D17" s="516"/>
      <c r="E17" s="146" t="str">
        <f>IF(OR(E11="Tiesa",E14="Tiesa"),"Tenkinama","Netenkinama")</f>
        <v>Tenkinama</v>
      </c>
      <c r="F17" s="141" t="str">
        <f>IF(OR(F11="Tiesa",F14="Tiesa"),"Tenkinama","Netenkinama")</f>
        <v>Tenkinama</v>
      </c>
    </row>
    <row r="18" spans="1:8" ht="21.1" customHeight="1" thickBot="1">
      <c r="A18" s="62"/>
      <c r="B18" s="446"/>
      <c r="C18" s="507" t="s">
        <v>324</v>
      </c>
      <c r="D18" s="508"/>
      <c r="E18" s="147" t="str">
        <f>IF(E17="Tenkinama","Valid","Invalid ")</f>
        <v>Valid</v>
      </c>
      <c r="F18" s="142" t="str">
        <f>IF(F17="Tenkinama","Valid","Invalid ")</f>
        <v>Valid</v>
      </c>
    </row>
    <row r="19" spans="1:8" ht="14.3" thickBot="1">
      <c r="B19" s="20"/>
      <c r="C19" s="210" t="s">
        <v>237</v>
      </c>
      <c r="D19" s="249"/>
      <c r="E19" s="249"/>
      <c r="F19" s="249"/>
      <c r="H19" s="27"/>
    </row>
    <row r="20" spans="1:8" ht="14.95" thickTop="1" thickBot="1">
      <c r="B20" s="20"/>
      <c r="C20" s="213" t="s">
        <v>238</v>
      </c>
      <c r="D20" s="214" t="s">
        <v>169</v>
      </c>
      <c r="E20" s="421">
        <v>2026</v>
      </c>
      <c r="F20" s="422"/>
      <c r="H20" s="27"/>
    </row>
    <row r="21" spans="1:8" ht="14.3" thickBot="1">
      <c r="B21" s="20"/>
      <c r="C21" s="20"/>
      <c r="D21" s="214" t="s">
        <v>173</v>
      </c>
      <c r="E21" s="173">
        <f>'2. Macro'!N20</f>
        <v>-0.41962124409199442</v>
      </c>
      <c r="F21" s="174">
        <f>'2. Macro'!N19</f>
        <v>-3.0596915507008493E-2</v>
      </c>
      <c r="H21" s="27"/>
    </row>
    <row r="22" spans="1:8" ht="18.350000000000001" thickBot="1">
      <c r="B22" s="20"/>
      <c r="C22" s="20"/>
      <c r="D22" s="214" t="s">
        <v>239</v>
      </c>
      <c r="E22" s="173">
        <f>'3. GGbudget'!F31</f>
        <v>1.7362735566268421</v>
      </c>
      <c r="F22" s="174">
        <f>'3. GGbudget'!H31</f>
        <v>1.7007962039679807</v>
      </c>
      <c r="H22" s="27"/>
    </row>
    <row r="23" spans="1:8" ht="18.350000000000001" thickBot="1">
      <c r="B23" s="20"/>
      <c r="C23" s="20"/>
      <c r="D23" s="214" t="s">
        <v>240</v>
      </c>
      <c r="E23" s="173">
        <f>'3. GGbudget'!E31</f>
        <v>1.3252469001939764</v>
      </c>
      <c r="F23" s="174">
        <f>'3. GGbudget'!G31</f>
        <v>1.2519526975624757</v>
      </c>
      <c r="G23" s="13"/>
      <c r="H23" s="27"/>
    </row>
    <row r="24" spans="1:8" ht="18.350000000000001" thickBot="1">
      <c r="B24" s="20"/>
      <c r="C24" s="20"/>
      <c r="D24" s="214" t="s">
        <v>241</v>
      </c>
      <c r="E24" s="175">
        <f>'3. GGbudget'!F32</f>
        <v>1.9946650260573955E-2</v>
      </c>
      <c r="F24" s="176">
        <f>'3. GGbudget'!H32</f>
        <v>-1.8492229205245233E-2</v>
      </c>
      <c r="H24" s="6"/>
    </row>
    <row r="25" spans="1:8" ht="14.95" thickTop="1" thickBot="1">
      <c r="B25" s="20"/>
      <c r="C25" s="20"/>
      <c r="D25" s="214" t="s">
        <v>43</v>
      </c>
      <c r="E25" s="214"/>
      <c r="F25" s="244"/>
      <c r="G25" s="38" t="s">
        <v>242</v>
      </c>
      <c r="H25" s="6"/>
    </row>
    <row r="26" spans="1:8" ht="14.95" thickTop="1" thickBot="1">
      <c r="B26" s="20"/>
      <c r="C26" s="20"/>
      <c r="D26" s="214" t="s">
        <v>45</v>
      </c>
      <c r="E26" s="517" t="s">
        <v>23</v>
      </c>
      <c r="F26" s="518"/>
      <c r="G26" s="38" t="s">
        <v>46</v>
      </c>
      <c r="H26" s="6"/>
    </row>
    <row r="27" spans="1:8" ht="14.3" thickBot="1">
      <c r="B27" s="20"/>
      <c r="C27" s="20"/>
      <c r="D27" s="214" t="s">
        <v>47</v>
      </c>
      <c r="E27" s="513" t="s">
        <v>24</v>
      </c>
      <c r="F27" s="514"/>
      <c r="G27" s="38" t="s">
        <v>48</v>
      </c>
    </row>
    <row r="28" spans="1:8" ht="14.3" thickTop="1">
      <c r="B28" s="20"/>
      <c r="C28" s="20"/>
      <c r="D28" s="20"/>
      <c r="E28" s="214"/>
      <c r="F28" s="20"/>
    </row>
    <row r="29" spans="1:8">
      <c r="B29" s="20"/>
      <c r="C29" s="20"/>
      <c r="D29" s="20"/>
      <c r="E29" s="214"/>
      <c r="F29" s="56"/>
    </row>
    <row r="30" spans="1:8">
      <c r="B30" s="20"/>
      <c r="C30" s="20"/>
      <c r="D30" s="20"/>
      <c r="E30" s="214"/>
      <c r="F30" s="56"/>
    </row>
    <row r="31" spans="1:8">
      <c r="B31" s="20"/>
      <c r="C31" s="20"/>
      <c r="D31" s="20"/>
      <c r="E31" s="20"/>
      <c r="F31" s="20"/>
    </row>
    <row r="32" spans="1:8">
      <c r="B32" s="20"/>
      <c r="C32" s="20"/>
      <c r="D32" s="20"/>
      <c r="E32" s="20"/>
      <c r="F32" s="20"/>
    </row>
    <row r="33" spans="2:6">
      <c r="B33" s="20"/>
      <c r="C33" s="20"/>
      <c r="D33" s="20"/>
      <c r="E33" s="20"/>
      <c r="F33" s="20"/>
    </row>
    <row r="34" spans="2:6">
      <c r="B34" s="20"/>
      <c r="C34" s="20"/>
      <c r="D34" s="20"/>
      <c r="E34" s="20"/>
      <c r="F34" s="20"/>
    </row>
  </sheetData>
  <mergeCells count="19">
    <mergeCell ref="E27:F27"/>
    <mergeCell ref="C17:D17"/>
    <mergeCell ref="E26:F26"/>
    <mergeCell ref="E20:F20"/>
    <mergeCell ref="C6:C7"/>
    <mergeCell ref="C10:D10"/>
    <mergeCell ref="C11:C13"/>
    <mergeCell ref="D11:D13"/>
    <mergeCell ref="D6:D8"/>
    <mergeCell ref="C9:D9"/>
    <mergeCell ref="B1:C1"/>
    <mergeCell ref="B3:F3"/>
    <mergeCell ref="E4:F4"/>
    <mergeCell ref="B5:D5"/>
    <mergeCell ref="C18:D18"/>
    <mergeCell ref="B11:B18"/>
    <mergeCell ref="C14:C16"/>
    <mergeCell ref="D14:D16"/>
    <mergeCell ref="B6:B10"/>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E6</xm:sqref>
        </x14:conditionalFormatting>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E11</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F6</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BB5A-0DA2-4FC7-96E1-3C3C88F732E1}">
  <sheetPr>
    <tabColor theme="1" tint="0.499984740745262"/>
  </sheetPr>
  <dimension ref="A1:AE39"/>
  <sheetViews>
    <sheetView showGridLines="0" showRowColHeaders="0" zoomScaleNormal="100" workbookViewId="0">
      <selection activeCell="B1" sqref="B1:C1"/>
    </sheetView>
  </sheetViews>
  <sheetFormatPr defaultColWidth="10" defaultRowHeight="13.6"/>
  <cols>
    <col min="1" max="1" width="3.625" style="1" customWidth="1"/>
    <col min="2" max="2" width="58" style="1" customWidth="1"/>
    <col min="3" max="4" width="10.5" style="1" customWidth="1"/>
    <col min="5" max="21" width="10.875" style="1" customWidth="1"/>
    <col min="22" max="22" width="11.625" style="1" customWidth="1"/>
    <col min="23" max="23" width="12.5" style="1" customWidth="1"/>
    <col min="24" max="16384" width="10" style="1"/>
  </cols>
  <sheetData>
    <row r="1" spans="1:31">
      <c r="A1" s="221"/>
      <c r="B1" s="447" t="s">
        <v>19</v>
      </c>
      <c r="C1" s="447"/>
      <c r="D1" s="252"/>
      <c r="E1" s="252"/>
      <c r="F1" s="252"/>
      <c r="G1" s="252"/>
      <c r="H1" s="252"/>
      <c r="I1" s="252"/>
      <c r="J1" s="252"/>
      <c r="K1" s="252"/>
      <c r="L1" s="252"/>
      <c r="M1" s="252"/>
      <c r="N1" s="252"/>
      <c r="O1" s="252"/>
      <c r="P1" s="252"/>
      <c r="Q1" s="252"/>
      <c r="R1" s="252"/>
      <c r="S1" s="252"/>
      <c r="T1" s="252"/>
      <c r="U1" s="252"/>
      <c r="V1" s="252"/>
      <c r="W1" s="252"/>
    </row>
    <row r="2" spans="1:31" ht="14.3" thickBot="1">
      <c r="A2" s="222" t="s">
        <v>20</v>
      </c>
      <c r="B2" s="20"/>
      <c r="C2" s="20"/>
      <c r="D2" s="20"/>
      <c r="E2" s="20"/>
      <c r="F2" s="20"/>
      <c r="G2" s="20"/>
      <c r="H2" s="20"/>
      <c r="I2" s="20"/>
      <c r="J2" s="20"/>
      <c r="K2" s="20"/>
      <c r="L2" s="20"/>
      <c r="M2" s="20"/>
      <c r="N2" s="20"/>
      <c r="O2" s="20"/>
      <c r="P2" s="20"/>
      <c r="Q2" s="20"/>
      <c r="R2" s="20"/>
      <c r="S2" s="20"/>
      <c r="T2" s="20"/>
      <c r="U2" s="20"/>
      <c r="V2" s="20"/>
      <c r="W2" s="20"/>
    </row>
    <row r="3" spans="1:31" ht="49.6" customHeight="1" thickBot="1">
      <c r="A3" s="212"/>
      <c r="B3" s="546" t="s">
        <v>276</v>
      </c>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8"/>
    </row>
    <row r="4" spans="1:31" ht="41.3" customHeight="1" thickBot="1">
      <c r="A4" s="20"/>
      <c r="B4" s="282" t="s">
        <v>277</v>
      </c>
      <c r="C4" s="281"/>
      <c r="D4" s="541">
        <v>2016</v>
      </c>
      <c r="E4" s="549"/>
      <c r="F4" s="541">
        <v>2017</v>
      </c>
      <c r="G4" s="542"/>
      <c r="H4" s="541">
        <v>2018</v>
      </c>
      <c r="I4" s="542"/>
      <c r="J4" s="549"/>
      <c r="K4" s="541">
        <v>2019</v>
      </c>
      <c r="L4" s="542"/>
      <c r="M4" s="549"/>
      <c r="N4" s="541">
        <v>2020</v>
      </c>
      <c r="O4" s="542"/>
      <c r="P4" s="549"/>
      <c r="Q4" s="541">
        <v>2021</v>
      </c>
      <c r="R4" s="542"/>
      <c r="S4" s="549"/>
      <c r="T4" s="541">
        <v>2022</v>
      </c>
      <c r="U4" s="542"/>
      <c r="V4" s="549"/>
      <c r="W4" s="541">
        <v>2023</v>
      </c>
      <c r="X4" s="542"/>
      <c r="Y4" s="549"/>
      <c r="Z4" s="540">
        <v>2024</v>
      </c>
      <c r="AA4" s="540"/>
      <c r="AB4" s="540"/>
      <c r="AC4" s="541">
        <v>2025</v>
      </c>
      <c r="AD4" s="542"/>
      <c r="AE4" s="102">
        <v>2026</v>
      </c>
    </row>
    <row r="5" spans="1:31" ht="61.15" customHeight="1" thickBot="1">
      <c r="A5" s="20"/>
      <c r="B5" s="253"/>
      <c r="C5" s="254" t="s">
        <v>278</v>
      </c>
      <c r="D5" s="255" t="s">
        <v>279</v>
      </c>
      <c r="E5" s="255" t="s">
        <v>280</v>
      </c>
      <c r="F5" s="255" t="s">
        <v>279</v>
      </c>
      <c r="G5" s="255" t="s">
        <v>281</v>
      </c>
      <c r="H5" s="255" t="s">
        <v>279</v>
      </c>
      <c r="I5" s="255" t="s">
        <v>281</v>
      </c>
      <c r="J5" s="255" t="s">
        <v>280</v>
      </c>
      <c r="K5" s="255" t="s">
        <v>279</v>
      </c>
      <c r="L5" s="255" t="s">
        <v>281</v>
      </c>
      <c r="M5" s="255" t="s">
        <v>280</v>
      </c>
      <c r="N5" s="255" t="s">
        <v>279</v>
      </c>
      <c r="O5" s="255" t="s">
        <v>281</v>
      </c>
      <c r="P5" s="255" t="s">
        <v>280</v>
      </c>
      <c r="Q5" s="255" t="s">
        <v>279</v>
      </c>
      <c r="R5" s="255" t="s">
        <v>281</v>
      </c>
      <c r="S5" s="255" t="s">
        <v>280</v>
      </c>
      <c r="T5" s="255" t="s">
        <v>279</v>
      </c>
      <c r="U5" s="255" t="s">
        <v>282</v>
      </c>
      <c r="V5" s="255" t="s">
        <v>283</v>
      </c>
      <c r="W5" s="255" t="s">
        <v>284</v>
      </c>
      <c r="X5" s="255" t="s">
        <v>281</v>
      </c>
      <c r="Y5" s="255" t="s">
        <v>283</v>
      </c>
      <c r="Z5" s="255" t="s">
        <v>284</v>
      </c>
      <c r="AA5" s="255" t="s">
        <v>281</v>
      </c>
      <c r="AB5" s="255" t="s">
        <v>280</v>
      </c>
      <c r="AC5" s="255" t="s">
        <v>284</v>
      </c>
      <c r="AD5" s="255" t="s">
        <v>281</v>
      </c>
      <c r="AE5" s="343" t="s">
        <v>279</v>
      </c>
    </row>
    <row r="6" spans="1:31" ht="25.15" customHeight="1" thickBot="1">
      <c r="A6" s="20"/>
      <c r="B6" s="256" t="s">
        <v>285</v>
      </c>
      <c r="C6" s="257"/>
      <c r="D6" s="258">
        <v>42321</v>
      </c>
      <c r="E6" s="258">
        <v>43054</v>
      </c>
      <c r="F6" s="258">
        <v>42689</v>
      </c>
      <c r="G6" s="258">
        <v>43054</v>
      </c>
      <c r="H6" s="258">
        <v>43054</v>
      </c>
      <c r="I6" s="258">
        <v>43412</v>
      </c>
      <c r="J6" s="258">
        <v>43599</v>
      </c>
      <c r="K6" s="258">
        <v>43412</v>
      </c>
      <c r="L6" s="258">
        <v>43781</v>
      </c>
      <c r="M6" s="258">
        <v>43966</v>
      </c>
      <c r="N6" s="258">
        <v>43781</v>
      </c>
      <c r="O6" s="258">
        <v>44145</v>
      </c>
      <c r="P6" s="258">
        <v>44328</v>
      </c>
      <c r="Q6" s="258">
        <v>44145</v>
      </c>
      <c r="R6" s="258">
        <v>44508</v>
      </c>
      <c r="S6" s="258">
        <v>44686</v>
      </c>
      <c r="T6" s="259">
        <v>44686</v>
      </c>
      <c r="U6" s="259">
        <f>W6</f>
        <v>44862</v>
      </c>
      <c r="V6" s="259">
        <v>45054</v>
      </c>
      <c r="W6" s="260">
        <v>44862</v>
      </c>
      <c r="X6" s="260">
        <v>45226</v>
      </c>
      <c r="Y6" s="259">
        <v>45434</v>
      </c>
      <c r="Z6" s="260">
        <v>45226</v>
      </c>
      <c r="AA6" s="260">
        <v>45590</v>
      </c>
      <c r="AB6" s="260">
        <v>45811</v>
      </c>
      <c r="AC6" s="303" t="s">
        <v>313</v>
      </c>
      <c r="AD6" s="303">
        <v>45967</v>
      </c>
      <c r="AE6" s="303">
        <v>45967</v>
      </c>
    </row>
    <row r="7" spans="1:31" ht="14.3" customHeight="1">
      <c r="A7" s="20"/>
      <c r="B7" s="261" t="s">
        <v>150</v>
      </c>
      <c r="C7" s="217"/>
      <c r="D7" s="537" t="str">
        <f>"Ne"</f>
        <v>Ne</v>
      </c>
      <c r="E7" s="538"/>
      <c r="F7" s="537" t="str">
        <f>"Ne"</f>
        <v>Ne</v>
      </c>
      <c r="G7" s="538"/>
      <c r="H7" s="537" t="str">
        <f>"Ne"</f>
        <v>Ne</v>
      </c>
      <c r="I7" s="538"/>
      <c r="J7" s="539"/>
      <c r="K7" s="537" t="str">
        <f>"Ne"</f>
        <v>Ne</v>
      </c>
      <c r="L7" s="538"/>
      <c r="M7" s="539"/>
      <c r="N7" s="537" t="str">
        <f>"Taip"</f>
        <v>Taip</v>
      </c>
      <c r="O7" s="538"/>
      <c r="P7" s="539"/>
      <c r="Q7" s="537" t="str">
        <f>"Taip"</f>
        <v>Taip</v>
      </c>
      <c r="R7" s="538"/>
      <c r="S7" s="539"/>
      <c r="T7" s="537" t="str">
        <f>"Taip"</f>
        <v>Taip</v>
      </c>
      <c r="U7" s="538"/>
      <c r="V7" s="539"/>
      <c r="W7" s="543" t="str">
        <f>"Taip"</f>
        <v>Taip</v>
      </c>
      <c r="X7" s="544"/>
      <c r="Y7" s="545"/>
      <c r="Z7" s="537" t="str">
        <f>"Taip"</f>
        <v>Taip</v>
      </c>
      <c r="AA7" s="538"/>
      <c r="AB7" s="539"/>
      <c r="AC7" s="537" t="str">
        <f>"Ne"</f>
        <v>Ne</v>
      </c>
      <c r="AD7" s="538"/>
      <c r="AE7" s="341" t="s">
        <v>329</v>
      </c>
    </row>
    <row r="8" spans="1:31" ht="14.3" customHeight="1" thickBot="1">
      <c r="A8" s="20"/>
      <c r="B8" s="262" t="s">
        <v>29</v>
      </c>
      <c r="C8" s="218"/>
      <c r="D8" s="530" t="str">
        <f>"No"</f>
        <v>No</v>
      </c>
      <c r="E8" s="531"/>
      <c r="F8" s="530" t="str">
        <f>"No"</f>
        <v>No</v>
      </c>
      <c r="G8" s="531"/>
      <c r="H8" s="530" t="str">
        <f>"No"</f>
        <v>No</v>
      </c>
      <c r="I8" s="531"/>
      <c r="J8" s="532"/>
      <c r="K8" s="530" t="str">
        <f>"No"</f>
        <v>No</v>
      </c>
      <c r="L8" s="531"/>
      <c r="M8" s="532"/>
      <c r="N8" s="530" t="str">
        <f>"Yes"</f>
        <v>Yes</v>
      </c>
      <c r="O8" s="531"/>
      <c r="P8" s="532"/>
      <c r="Q8" s="530" t="str">
        <f>"Yes"</f>
        <v>Yes</v>
      </c>
      <c r="R8" s="531"/>
      <c r="S8" s="532"/>
      <c r="T8" s="530" t="str">
        <f>"Yes"</f>
        <v>Yes</v>
      </c>
      <c r="U8" s="531"/>
      <c r="V8" s="532"/>
      <c r="W8" s="530" t="str">
        <f>"Yes"</f>
        <v>Yes</v>
      </c>
      <c r="X8" s="531"/>
      <c r="Y8" s="532"/>
      <c r="Z8" s="530" t="str">
        <f>"Yes"</f>
        <v>Yes</v>
      </c>
      <c r="AA8" s="531"/>
      <c r="AB8" s="532"/>
      <c r="AC8" s="530" t="s">
        <v>330</v>
      </c>
      <c r="AD8" s="531"/>
      <c r="AE8" s="342" t="s">
        <v>330</v>
      </c>
    </row>
    <row r="9" spans="1:31" ht="14.3" customHeight="1" thickBot="1">
      <c r="A9" s="20"/>
      <c r="B9" s="263" t="s">
        <v>286</v>
      </c>
      <c r="C9" s="264" t="s">
        <v>23</v>
      </c>
      <c r="D9" s="287">
        <v>-0.3</v>
      </c>
      <c r="E9" s="287">
        <v>0.6</v>
      </c>
      <c r="F9" s="287">
        <v>1.4</v>
      </c>
      <c r="G9" s="287">
        <v>1.7</v>
      </c>
      <c r="H9" s="287">
        <v>1.6</v>
      </c>
      <c r="I9" s="287">
        <v>2.4</v>
      </c>
      <c r="J9" s="287">
        <v>2.9</v>
      </c>
      <c r="K9" s="287">
        <v>1.5</v>
      </c>
      <c r="L9" s="287">
        <v>3.5</v>
      </c>
      <c r="M9" s="287">
        <v>4</v>
      </c>
      <c r="N9" s="287">
        <v>2.2000000000000002</v>
      </c>
      <c r="O9" s="287">
        <v>-1.1000000000000001</v>
      </c>
      <c r="P9" s="287">
        <v>-0.6</v>
      </c>
      <c r="Q9" s="287">
        <v>-1.3</v>
      </c>
      <c r="R9" s="287">
        <v>-0.7</v>
      </c>
      <c r="S9" s="287">
        <v>0.4</v>
      </c>
      <c r="T9" s="287">
        <v>-0.7</v>
      </c>
      <c r="U9" s="287">
        <v>-1</v>
      </c>
      <c r="V9" s="287">
        <v>-0.4</v>
      </c>
      <c r="W9" s="287">
        <v>-2.4</v>
      </c>
      <c r="X9" s="287">
        <v>-1.9237921079299225</v>
      </c>
      <c r="Y9" s="287">
        <v>-2</v>
      </c>
      <c r="Z9" s="287">
        <v>-2.2530986878562032</v>
      </c>
      <c r="AA9" s="287">
        <v>-1.9985156346188804</v>
      </c>
      <c r="AB9" s="287">
        <v>-2.0509821231029957</v>
      </c>
      <c r="AC9" s="344">
        <v>-2.0708332933234486</v>
      </c>
      <c r="AD9" s="344">
        <v>-1.2330221552324439</v>
      </c>
      <c r="AE9" s="345">
        <v>-0.41962124409199442</v>
      </c>
    </row>
    <row r="10" spans="1:31" ht="14.3" customHeight="1" thickBot="1">
      <c r="A10" s="20"/>
      <c r="B10" s="265" t="s">
        <v>287</v>
      </c>
      <c r="C10" s="319" t="s">
        <v>24</v>
      </c>
      <c r="D10" s="318">
        <v>0.9</v>
      </c>
      <c r="E10" s="318">
        <v>0.6</v>
      </c>
      <c r="F10" s="318">
        <v>0.9</v>
      </c>
      <c r="G10" s="318">
        <v>1.6</v>
      </c>
      <c r="H10" s="318">
        <v>2.4</v>
      </c>
      <c r="I10" s="318">
        <v>2.2999999999999998</v>
      </c>
      <c r="J10" s="318">
        <v>1.8</v>
      </c>
      <c r="K10" s="318">
        <v>2.2999999999999998</v>
      </c>
      <c r="L10" s="318">
        <v>3.4</v>
      </c>
      <c r="M10" s="318">
        <v>3.5</v>
      </c>
      <c r="N10" s="318">
        <v>2.7</v>
      </c>
      <c r="O10" s="318">
        <v>-0.6</v>
      </c>
      <c r="P10" s="318">
        <v>-0.35</v>
      </c>
      <c r="Q10" s="318">
        <v>-0.4</v>
      </c>
      <c r="R10" s="318">
        <v>0.3</v>
      </c>
      <c r="S10" s="318">
        <v>2.2000000000000002</v>
      </c>
      <c r="T10" s="318">
        <v>0.7</v>
      </c>
      <c r="U10" s="318">
        <v>0.3</v>
      </c>
      <c r="V10" s="318">
        <v>1.3</v>
      </c>
      <c r="W10" s="318">
        <v>-1.4</v>
      </c>
      <c r="X10" s="318">
        <v>-2.4837897115830843</v>
      </c>
      <c r="Y10" s="288">
        <v>-1.8</v>
      </c>
      <c r="Z10" s="318">
        <v>-4.139237694902187</v>
      </c>
      <c r="AA10" s="318">
        <v>-2.6962432359061594</v>
      </c>
      <c r="AB10" s="318">
        <v>-0.51209270146669317</v>
      </c>
      <c r="AC10" s="346">
        <v>-2.0958314030578462</v>
      </c>
      <c r="AD10" s="346">
        <v>-0.4293436727674349</v>
      </c>
      <c r="AE10" s="347">
        <v>-3.0596915507008493E-2</v>
      </c>
    </row>
    <row r="11" spans="1:31" ht="19.55" customHeight="1" thickBot="1">
      <c r="A11" s="20"/>
      <c r="B11" s="266" t="s">
        <v>288</v>
      </c>
      <c r="C11" s="310" t="s">
        <v>23</v>
      </c>
      <c r="D11" s="304"/>
      <c r="E11" s="267"/>
      <c r="F11" s="268"/>
      <c r="G11" s="305" t="s">
        <v>289</v>
      </c>
      <c r="H11" s="267"/>
      <c r="I11" s="267"/>
      <c r="J11" s="267"/>
      <c r="K11" s="267"/>
      <c r="L11" s="268"/>
      <c r="M11" s="268"/>
      <c r="N11" s="267"/>
      <c r="O11" s="269"/>
      <c r="P11" s="269"/>
      <c r="Q11" s="269"/>
      <c r="R11" s="269"/>
      <c r="S11" s="269"/>
      <c r="T11" s="269"/>
      <c r="U11" s="269"/>
      <c r="V11" s="269"/>
      <c r="W11" s="269"/>
      <c r="X11" s="269"/>
      <c r="Y11" s="269"/>
      <c r="Z11" s="269"/>
      <c r="AA11" s="269"/>
      <c r="AB11" s="323"/>
      <c r="AC11" s="314"/>
      <c r="AD11" s="324"/>
      <c r="AE11" s="348"/>
    </row>
    <row r="12" spans="1:31" ht="19.55" customHeight="1" thickBot="1">
      <c r="A12" s="20"/>
      <c r="B12" s="270" t="s">
        <v>290</v>
      </c>
      <c r="C12" s="320" t="s">
        <v>24</v>
      </c>
      <c r="D12" s="306"/>
      <c r="E12" s="312"/>
      <c r="F12" s="313"/>
      <c r="G12" s="313"/>
      <c r="H12" s="313"/>
      <c r="I12" s="313"/>
      <c r="J12" s="312"/>
      <c r="K12" s="313"/>
      <c r="L12" s="313"/>
      <c r="M12" s="313"/>
      <c r="N12" s="313"/>
      <c r="O12" s="314"/>
      <c r="P12" s="314"/>
      <c r="Q12" s="314"/>
      <c r="R12" s="314"/>
      <c r="S12" s="314"/>
      <c r="T12" s="314"/>
      <c r="U12" s="314"/>
      <c r="V12" s="314"/>
      <c r="W12" s="314"/>
      <c r="X12" s="314"/>
      <c r="Y12" s="314"/>
      <c r="Z12" s="314"/>
      <c r="AA12" s="314"/>
      <c r="AB12" s="324"/>
      <c r="AC12" s="314"/>
      <c r="AD12" s="324"/>
      <c r="AE12" s="348"/>
    </row>
    <row r="13" spans="1:31" ht="19.55" customHeight="1" thickBot="1">
      <c r="A13" s="20"/>
      <c r="B13" s="271" t="s">
        <v>291</v>
      </c>
      <c r="C13" s="310" t="s">
        <v>23</v>
      </c>
      <c r="D13" s="307"/>
      <c r="E13" s="315" t="s">
        <v>289</v>
      </c>
      <c r="F13" s="314"/>
      <c r="G13" s="314"/>
      <c r="H13" s="314"/>
      <c r="I13" s="314"/>
      <c r="J13" s="314"/>
      <c r="K13" s="314"/>
      <c r="L13" s="314"/>
      <c r="M13" s="314"/>
      <c r="N13" s="314"/>
      <c r="O13" s="314"/>
      <c r="P13" s="314"/>
      <c r="Q13" s="314"/>
      <c r="R13" s="314"/>
      <c r="S13" s="314"/>
      <c r="T13" s="314"/>
      <c r="U13" s="314"/>
      <c r="V13" s="314"/>
      <c r="W13" s="314"/>
      <c r="X13" s="314"/>
      <c r="Y13" s="314"/>
      <c r="Z13" s="314"/>
      <c r="AA13" s="314"/>
      <c r="AB13" s="324"/>
      <c r="AC13" s="314"/>
      <c r="AD13" s="324"/>
      <c r="AE13" s="330"/>
    </row>
    <row r="14" spans="1:31" ht="19.55" customHeight="1" thickBot="1">
      <c r="A14" s="20"/>
      <c r="B14" s="270" t="s">
        <v>292</v>
      </c>
      <c r="C14" s="320" t="s">
        <v>24</v>
      </c>
      <c r="D14" s="307"/>
      <c r="E14" s="315" t="s">
        <v>289</v>
      </c>
      <c r="F14" s="314"/>
      <c r="G14" s="315" t="s">
        <v>289</v>
      </c>
      <c r="H14" s="313"/>
      <c r="I14" s="316" t="s">
        <v>289</v>
      </c>
      <c r="J14" s="313"/>
      <c r="K14" s="314"/>
      <c r="L14" s="314"/>
      <c r="M14" s="314"/>
      <c r="N14" s="314"/>
      <c r="O14" s="314"/>
      <c r="P14" s="314"/>
      <c r="Q14" s="314"/>
      <c r="R14" s="314"/>
      <c r="S14" s="314"/>
      <c r="T14" s="314"/>
      <c r="U14" s="314"/>
      <c r="V14" s="314"/>
      <c r="W14" s="314"/>
      <c r="X14" s="314"/>
      <c r="Y14" s="314"/>
      <c r="Z14" s="314"/>
      <c r="AA14" s="314"/>
      <c r="AB14" s="324"/>
      <c r="AC14" s="314"/>
      <c r="AD14" s="324"/>
      <c r="AE14" s="330"/>
    </row>
    <row r="15" spans="1:31" ht="20.25" customHeight="1" thickBot="1">
      <c r="A15" s="20"/>
      <c r="B15" s="271" t="s">
        <v>230</v>
      </c>
      <c r="C15" s="310" t="s">
        <v>23</v>
      </c>
      <c r="D15" s="307"/>
      <c r="E15" s="314"/>
      <c r="F15" s="314"/>
      <c r="G15" s="314"/>
      <c r="H15" s="314"/>
      <c r="I15" s="314"/>
      <c r="J15" s="312"/>
      <c r="K15" s="312"/>
      <c r="L15" s="312"/>
      <c r="M15" s="313"/>
      <c r="N15" s="312"/>
      <c r="O15" s="313"/>
      <c r="P15" s="312"/>
      <c r="Q15" s="312"/>
      <c r="R15" s="312"/>
      <c r="S15" s="312"/>
      <c r="T15" s="312"/>
      <c r="U15" s="317"/>
      <c r="V15" s="312"/>
      <c r="W15" s="317"/>
      <c r="X15" s="317"/>
      <c r="Y15" s="317"/>
      <c r="Z15" s="317"/>
      <c r="AA15" s="317"/>
      <c r="AB15" s="325"/>
      <c r="AC15" s="317"/>
      <c r="AD15" s="349"/>
      <c r="AE15" s="328"/>
    </row>
    <row r="16" spans="1:31" ht="19.55" customHeight="1" thickBot="1">
      <c r="A16" s="20"/>
      <c r="B16" s="270" t="s">
        <v>231</v>
      </c>
      <c r="C16" s="320" t="s">
        <v>24</v>
      </c>
      <c r="D16" s="307"/>
      <c r="E16" s="314"/>
      <c r="F16" s="314"/>
      <c r="G16" s="314"/>
      <c r="H16" s="314"/>
      <c r="I16" s="314"/>
      <c r="J16" s="312"/>
      <c r="K16" s="312"/>
      <c r="L16" s="312"/>
      <c r="M16" s="313"/>
      <c r="N16" s="312"/>
      <c r="O16" s="313"/>
      <c r="P16" s="312"/>
      <c r="Q16" s="312"/>
      <c r="R16" s="312"/>
      <c r="S16" s="312"/>
      <c r="T16" s="312"/>
      <c r="U16" s="317"/>
      <c r="V16" s="312"/>
      <c r="W16" s="317"/>
      <c r="X16" s="317"/>
      <c r="Y16" s="317"/>
      <c r="Z16" s="317"/>
      <c r="AA16" s="317"/>
      <c r="AB16" s="325"/>
      <c r="AC16" s="317"/>
      <c r="AD16" s="349"/>
      <c r="AE16" s="328"/>
    </row>
    <row r="17" spans="1:31" ht="19.55" customHeight="1" thickBot="1">
      <c r="A17" s="20"/>
      <c r="B17" s="266" t="s">
        <v>41</v>
      </c>
      <c r="C17" s="310" t="s">
        <v>23</v>
      </c>
      <c r="D17" s="308" t="s">
        <v>289</v>
      </c>
      <c r="E17" s="316" t="s">
        <v>289</v>
      </c>
      <c r="F17" s="312"/>
      <c r="G17" s="312"/>
      <c r="H17" s="312"/>
      <c r="I17" s="312"/>
      <c r="J17" s="312"/>
      <c r="K17" s="312"/>
      <c r="L17" s="312"/>
      <c r="M17" s="312"/>
      <c r="N17" s="312"/>
      <c r="O17" s="312"/>
      <c r="P17" s="312"/>
      <c r="Q17" s="312"/>
      <c r="R17" s="312"/>
      <c r="S17" s="312"/>
      <c r="T17" s="312"/>
      <c r="U17" s="317"/>
      <c r="V17" s="312"/>
      <c r="W17" s="317"/>
      <c r="X17" s="317"/>
      <c r="Y17" s="317"/>
      <c r="Z17" s="317"/>
      <c r="AA17" s="317"/>
      <c r="AB17" s="325"/>
      <c r="AC17" s="317"/>
      <c r="AD17" s="325"/>
      <c r="AE17" s="328"/>
    </row>
    <row r="18" spans="1:31" ht="19.55" customHeight="1" thickBot="1">
      <c r="A18" s="20"/>
      <c r="B18" s="270" t="s">
        <v>236</v>
      </c>
      <c r="C18" s="320" t="s">
        <v>24</v>
      </c>
      <c r="D18" s="309" t="s">
        <v>289</v>
      </c>
      <c r="E18" s="272" t="s">
        <v>289</v>
      </c>
      <c r="F18" s="273"/>
      <c r="G18" s="273"/>
      <c r="H18" s="273"/>
      <c r="I18" s="273"/>
      <c r="J18" s="273"/>
      <c r="K18" s="273"/>
      <c r="L18" s="273"/>
      <c r="M18" s="273"/>
      <c r="N18" s="273"/>
      <c r="O18" s="273"/>
      <c r="P18" s="273"/>
      <c r="Q18" s="273"/>
      <c r="R18" s="273"/>
      <c r="S18" s="273"/>
      <c r="T18" s="273"/>
      <c r="U18" s="274"/>
      <c r="V18" s="273"/>
      <c r="W18" s="274"/>
      <c r="X18" s="274"/>
      <c r="Y18" s="274"/>
      <c r="Z18" s="274"/>
      <c r="AA18" s="274"/>
      <c r="AB18" s="326"/>
      <c r="AC18" s="274"/>
      <c r="AD18" s="326"/>
      <c r="AE18" s="329"/>
    </row>
    <row r="19" spans="1:31" ht="15.8" customHeight="1" thickBot="1">
      <c r="A19" s="20"/>
      <c r="B19" s="20"/>
      <c r="C19" s="420"/>
      <c r="D19" s="420"/>
      <c r="E19" s="420"/>
      <c r="F19" s="420"/>
      <c r="G19" s="420"/>
      <c r="H19" s="420"/>
      <c r="I19" s="420"/>
      <c r="J19" s="420"/>
      <c r="K19" s="420"/>
      <c r="L19" s="420"/>
      <c r="M19" s="420"/>
      <c r="N19" s="420"/>
      <c r="O19" s="420"/>
      <c r="P19" s="420"/>
      <c r="Q19" s="420"/>
      <c r="R19" s="420"/>
      <c r="S19" s="420"/>
      <c r="T19" s="420"/>
      <c r="U19" s="420"/>
      <c r="V19" s="420"/>
      <c r="W19" s="420"/>
    </row>
    <row r="20" spans="1:31">
      <c r="A20" s="20"/>
      <c r="B20" s="20"/>
      <c r="E20" s="237" t="s">
        <v>293</v>
      </c>
      <c r="F20" s="275"/>
      <c r="G20" s="276"/>
      <c r="H20" s="38" t="s">
        <v>294</v>
      </c>
      <c r="O20" s="213"/>
      <c r="P20" s="213"/>
      <c r="Q20" s="213"/>
      <c r="R20" s="213"/>
      <c r="S20" s="213"/>
      <c r="T20" s="213"/>
      <c r="U20" s="213"/>
      <c r="V20" s="213"/>
      <c r="W20" s="213"/>
    </row>
    <row r="21" spans="1:31">
      <c r="A21" s="20"/>
      <c r="B21" s="20"/>
      <c r="E21" s="237" t="s">
        <v>295</v>
      </c>
      <c r="F21" s="277"/>
      <c r="G21" s="278"/>
      <c r="H21" s="38" t="s">
        <v>296</v>
      </c>
      <c r="O21" s="20"/>
      <c r="P21" s="20"/>
      <c r="Q21" s="20"/>
      <c r="R21" s="20"/>
      <c r="S21" s="20"/>
    </row>
    <row r="22" spans="1:31">
      <c r="A22" s="20"/>
      <c r="B22" s="20"/>
      <c r="E22" s="237" t="s">
        <v>297</v>
      </c>
      <c r="F22" s="279"/>
      <c r="G22" s="280"/>
      <c r="H22" s="38" t="s">
        <v>298</v>
      </c>
      <c r="O22" s="20"/>
      <c r="P22" s="20"/>
      <c r="Q22" s="20"/>
      <c r="R22" s="20"/>
      <c r="S22" s="20"/>
    </row>
    <row r="23" spans="1:31" ht="15.8" customHeight="1" thickBot="1">
      <c r="A23" s="20"/>
      <c r="B23" s="20"/>
      <c r="E23" s="237" t="s">
        <v>299</v>
      </c>
      <c r="F23" s="533" t="s">
        <v>289</v>
      </c>
      <c r="G23" s="534"/>
      <c r="H23" s="38" t="s">
        <v>300</v>
      </c>
      <c r="O23" s="20"/>
      <c r="P23" s="20"/>
      <c r="Q23" s="20"/>
      <c r="R23" s="20"/>
      <c r="S23" s="20"/>
    </row>
    <row r="24" spans="1:31">
      <c r="A24" s="20"/>
      <c r="B24" s="20"/>
      <c r="E24" s="20"/>
      <c r="F24" s="20"/>
      <c r="G24" s="20"/>
      <c r="H24" s="20"/>
      <c r="L24" s="20"/>
      <c r="M24" s="20"/>
      <c r="N24" s="20"/>
      <c r="O24" s="20"/>
      <c r="P24" s="20"/>
      <c r="Q24" s="20"/>
      <c r="R24" s="20"/>
      <c r="S24" s="20"/>
    </row>
    <row r="25" spans="1:31" ht="14.3" thickBot="1">
      <c r="A25" s="20"/>
      <c r="B25" s="20"/>
      <c r="E25" s="214" t="s">
        <v>43</v>
      </c>
      <c r="F25" s="20"/>
      <c r="G25" s="20"/>
      <c r="H25" s="44" t="s">
        <v>44</v>
      </c>
      <c r="L25" s="20"/>
      <c r="M25" s="20"/>
      <c r="N25" s="20"/>
      <c r="O25" s="20"/>
      <c r="P25" s="20"/>
      <c r="Q25" s="20"/>
      <c r="R25" s="20"/>
      <c r="S25" s="20"/>
    </row>
    <row r="26" spans="1:31" ht="15.8" customHeight="1" thickBot="1">
      <c r="A26" s="20"/>
      <c r="B26" s="20"/>
      <c r="E26" s="214" t="s">
        <v>45</v>
      </c>
      <c r="F26" s="535" t="s">
        <v>23</v>
      </c>
      <c r="G26" s="536"/>
      <c r="H26" s="44" t="s">
        <v>46</v>
      </c>
      <c r="L26" s="20"/>
      <c r="M26" s="20"/>
      <c r="N26" s="20"/>
      <c r="O26" s="20"/>
      <c r="P26" s="20"/>
      <c r="Q26" s="20"/>
      <c r="R26" s="20"/>
      <c r="S26" s="20"/>
    </row>
    <row r="27" spans="1:31" ht="14.3" thickBot="1">
      <c r="A27" s="20"/>
      <c r="B27" s="20"/>
      <c r="C27" s="214"/>
      <c r="D27" s="214"/>
      <c r="E27" s="214" t="s">
        <v>47</v>
      </c>
      <c r="F27" s="410" t="s">
        <v>24</v>
      </c>
      <c r="G27" s="410"/>
      <c r="H27" s="38" t="s">
        <v>48</v>
      </c>
      <c r="I27" s="214"/>
      <c r="L27" s="20"/>
      <c r="M27" s="20"/>
      <c r="N27" s="20"/>
      <c r="O27" s="20"/>
      <c r="P27" s="20"/>
      <c r="Q27" s="20"/>
      <c r="R27" s="20"/>
      <c r="S27" s="20"/>
    </row>
    <row r="28" spans="1:31">
      <c r="A28" s="20"/>
      <c r="B28" s="20"/>
      <c r="C28" s="214"/>
      <c r="D28" s="214"/>
      <c r="K28" s="214"/>
      <c r="L28" s="214"/>
      <c r="M28" s="214"/>
      <c r="N28" s="214"/>
      <c r="O28" s="214"/>
      <c r="P28" s="214"/>
      <c r="Q28" s="214"/>
      <c r="R28" s="214"/>
      <c r="S28" s="214"/>
    </row>
    <row r="29" spans="1:31">
      <c r="A29" s="20"/>
      <c r="B29" s="20"/>
      <c r="C29" s="214"/>
      <c r="D29" s="214"/>
      <c r="E29" s="214"/>
      <c r="F29" s="214"/>
      <c r="G29" s="214"/>
      <c r="H29" s="214"/>
      <c r="I29" s="214"/>
      <c r="J29" s="214"/>
      <c r="K29" s="214"/>
      <c r="L29" s="214"/>
      <c r="M29" s="214"/>
      <c r="N29" s="214"/>
      <c r="O29" s="214"/>
      <c r="P29" s="214"/>
      <c r="Q29" s="214"/>
      <c r="R29" s="214"/>
      <c r="S29" s="214"/>
      <c r="T29" s="214"/>
      <c r="U29" s="214"/>
      <c r="V29" s="214"/>
      <c r="W29" s="214"/>
    </row>
    <row r="30" spans="1:31" s="8" customFormat="1">
      <c r="C30" s="28" t="s">
        <v>175</v>
      </c>
      <c r="D30" s="28"/>
      <c r="E30" s="28"/>
      <c r="F30" s="28"/>
      <c r="G30" s="28"/>
      <c r="H30" s="28"/>
      <c r="I30" s="28"/>
      <c r="J30" s="28"/>
      <c r="K30" s="28"/>
      <c r="L30" s="28"/>
      <c r="M30" s="28"/>
      <c r="N30" s="28"/>
      <c r="O30" s="28"/>
      <c r="P30" s="28"/>
      <c r="Q30" s="28"/>
      <c r="R30" s="28"/>
      <c r="S30" s="28"/>
      <c r="T30" s="28"/>
      <c r="U30" s="28"/>
      <c r="V30" s="28"/>
      <c r="W30" s="28"/>
    </row>
    <row r="31" spans="1:31" s="8" customFormat="1">
      <c r="C31" s="28" t="s">
        <v>177</v>
      </c>
      <c r="D31" s="28"/>
      <c r="E31" s="28"/>
      <c r="F31" s="28"/>
      <c r="G31" s="28"/>
      <c r="H31" s="28"/>
      <c r="I31" s="28"/>
      <c r="J31" s="28"/>
      <c r="K31" s="28"/>
      <c r="L31" s="28"/>
      <c r="M31" s="28"/>
      <c r="N31" s="28"/>
      <c r="O31" s="28"/>
      <c r="P31" s="28"/>
      <c r="Q31" s="28"/>
      <c r="R31" s="28"/>
      <c r="S31" s="28"/>
      <c r="T31" s="28"/>
      <c r="U31" s="28"/>
      <c r="V31" s="28"/>
      <c r="W31" s="28"/>
    </row>
    <row r="32" spans="1:31" s="8" customFormat="1">
      <c r="C32" s="28" t="s">
        <v>179</v>
      </c>
      <c r="D32" s="28"/>
      <c r="E32" s="28"/>
      <c r="F32" s="28"/>
      <c r="G32" s="28"/>
      <c r="H32" s="28"/>
      <c r="I32" s="28"/>
      <c r="J32" s="28"/>
      <c r="K32" s="28"/>
      <c r="L32" s="28"/>
      <c r="M32" s="28"/>
      <c r="N32" s="28"/>
      <c r="O32" s="28"/>
      <c r="P32" s="28"/>
      <c r="Q32" s="28"/>
      <c r="R32" s="28"/>
      <c r="S32" s="28"/>
      <c r="T32" s="28"/>
      <c r="U32" s="28"/>
      <c r="V32" s="28"/>
      <c r="W32" s="28"/>
      <c r="X32" s="31"/>
      <c r="Y32" s="31"/>
      <c r="Z32" s="31"/>
    </row>
    <row r="33" spans="3:28" s="8" customFormat="1">
      <c r="C33" s="28" t="s">
        <v>181</v>
      </c>
      <c r="D33" s="28"/>
      <c r="E33" s="28"/>
      <c r="F33" s="28"/>
      <c r="G33" s="28"/>
      <c r="H33" s="28"/>
      <c r="I33" s="28"/>
      <c r="J33" s="28"/>
      <c r="K33" s="28"/>
      <c r="L33" s="28"/>
      <c r="M33" s="28"/>
      <c r="N33" s="28"/>
      <c r="O33" s="28"/>
      <c r="P33" s="28"/>
      <c r="Q33" s="28"/>
      <c r="R33" s="28"/>
      <c r="S33" s="28"/>
      <c r="T33" s="28"/>
      <c r="U33" s="28"/>
      <c r="V33" s="28"/>
      <c r="W33" s="28"/>
      <c r="X33" s="31"/>
      <c r="Y33" s="31"/>
      <c r="Z33" s="31"/>
    </row>
    <row r="34" spans="3:28" s="8" customFormat="1"/>
    <row r="35" spans="3:28">
      <c r="C35" s="10"/>
      <c r="D35" s="10"/>
      <c r="E35" s="10"/>
      <c r="F35" s="10"/>
      <c r="G35" s="10"/>
      <c r="H35" s="10"/>
      <c r="I35" s="10"/>
      <c r="J35" s="10"/>
      <c r="K35" s="10"/>
      <c r="L35" s="10"/>
      <c r="M35" s="10"/>
      <c r="N35" s="10"/>
      <c r="O35" s="10"/>
      <c r="P35" s="10"/>
      <c r="Q35" s="10"/>
      <c r="R35" s="10"/>
      <c r="S35" s="10"/>
      <c r="T35" s="10"/>
      <c r="U35" s="10"/>
      <c r="V35" s="10"/>
      <c r="W35" s="10"/>
      <c r="X35" s="8"/>
      <c r="Y35" s="8"/>
      <c r="Z35" s="8"/>
      <c r="AA35" s="8"/>
      <c r="AB35" s="8"/>
    </row>
    <row r="36" spans="3:28">
      <c r="C36" s="10"/>
      <c r="D36" s="10"/>
      <c r="E36" s="10"/>
      <c r="F36" s="10"/>
      <c r="G36" s="10"/>
      <c r="H36" s="10"/>
      <c r="I36" s="10"/>
      <c r="J36" s="10"/>
      <c r="K36" s="10"/>
      <c r="L36" s="10"/>
      <c r="M36" s="10"/>
      <c r="N36" s="10"/>
      <c r="O36" s="10"/>
      <c r="P36" s="10"/>
      <c r="Q36" s="10"/>
      <c r="R36" s="10"/>
      <c r="S36" s="10"/>
      <c r="T36" s="10"/>
      <c r="U36" s="10"/>
      <c r="V36" s="10"/>
      <c r="W36" s="10"/>
      <c r="X36" s="8"/>
      <c r="Y36" s="8"/>
      <c r="Z36" s="8"/>
      <c r="AA36" s="8"/>
      <c r="AB36" s="8"/>
    </row>
    <row r="37" spans="3:28">
      <c r="C37" s="12"/>
      <c r="D37" s="12"/>
      <c r="E37" s="12"/>
      <c r="F37" s="12"/>
      <c r="G37" s="12"/>
      <c r="H37" s="12"/>
      <c r="I37" s="12"/>
      <c r="J37" s="12"/>
      <c r="K37" s="12"/>
      <c r="L37" s="12"/>
      <c r="M37" s="12"/>
      <c r="N37" s="12"/>
      <c r="O37" s="12"/>
      <c r="P37" s="12"/>
      <c r="Q37" s="12"/>
      <c r="R37" s="12"/>
      <c r="S37" s="12"/>
      <c r="T37" s="12"/>
      <c r="U37" s="12"/>
      <c r="V37" s="12"/>
      <c r="W37" s="12"/>
    </row>
    <row r="38" spans="3:28">
      <c r="C38" s="12"/>
      <c r="D38" s="12"/>
      <c r="E38" s="12"/>
      <c r="F38" s="12"/>
      <c r="G38" s="12"/>
      <c r="H38" s="12"/>
      <c r="I38" s="12"/>
      <c r="J38" s="12"/>
      <c r="K38" s="12"/>
      <c r="L38" s="12"/>
      <c r="M38" s="12"/>
      <c r="N38" s="12"/>
      <c r="O38" s="12"/>
      <c r="P38" s="12"/>
      <c r="Q38" s="12"/>
      <c r="R38" s="12"/>
      <c r="S38" s="12"/>
      <c r="T38" s="12"/>
      <c r="U38" s="12"/>
      <c r="V38" s="12"/>
      <c r="W38" s="12"/>
    </row>
    <row r="39" spans="3:28">
      <c r="C39" s="12"/>
      <c r="D39" s="12"/>
      <c r="E39" s="12"/>
      <c r="F39" s="12"/>
      <c r="G39" s="12"/>
      <c r="H39" s="12"/>
      <c r="I39" s="12"/>
      <c r="J39" s="12"/>
      <c r="K39" s="12"/>
      <c r="L39" s="12"/>
      <c r="M39" s="12"/>
      <c r="N39" s="12"/>
      <c r="O39" s="12"/>
      <c r="P39" s="12"/>
      <c r="Q39" s="12"/>
      <c r="R39" s="12"/>
      <c r="S39" s="12"/>
      <c r="T39" s="12"/>
      <c r="U39" s="12"/>
      <c r="V39" s="12"/>
      <c r="W39" s="12"/>
    </row>
  </sheetData>
  <mergeCells count="36">
    <mergeCell ref="B1:C1"/>
    <mergeCell ref="B3:AE3"/>
    <mergeCell ref="D4:E4"/>
    <mergeCell ref="F4:G4"/>
    <mergeCell ref="H4:J4"/>
    <mergeCell ref="K4:M4"/>
    <mergeCell ref="N4:P4"/>
    <mergeCell ref="Q4:S4"/>
    <mergeCell ref="T4:V4"/>
    <mergeCell ref="W4:Y4"/>
    <mergeCell ref="Z4:AB4"/>
    <mergeCell ref="AC4:AD4"/>
    <mergeCell ref="D7:E7"/>
    <mergeCell ref="F7:G7"/>
    <mergeCell ref="H7:J7"/>
    <mergeCell ref="K7:M7"/>
    <mergeCell ref="N7:P7"/>
    <mergeCell ref="Q7:S7"/>
    <mergeCell ref="T7:V7"/>
    <mergeCell ref="W7:Y7"/>
    <mergeCell ref="F27:G27"/>
    <mergeCell ref="Z7:AB7"/>
    <mergeCell ref="AC7:AD7"/>
    <mergeCell ref="D8:E8"/>
    <mergeCell ref="F8:G8"/>
    <mergeCell ref="H8:J8"/>
    <mergeCell ref="K8:M8"/>
    <mergeCell ref="N8:P8"/>
    <mergeCell ref="Q8:S8"/>
    <mergeCell ref="T8:V8"/>
    <mergeCell ref="W8:Y8"/>
    <mergeCell ref="Z8:AB8"/>
    <mergeCell ref="AC8:AD8"/>
    <mergeCell ref="C19:W19"/>
    <mergeCell ref="F23:G23"/>
    <mergeCell ref="F26:G26"/>
  </mergeCells>
  <hyperlinks>
    <hyperlink ref="B1" location="Content!A1" display="↖ atgal į turinį" xr:uid="{59187642-638B-419C-9C6D-C623794D4D4C}"/>
    <hyperlink ref="B1:C1" location="Content!A1" display="↖ atgal į turinį " xr:uid="{0547879A-7E04-4571-9027-B06BD23D5A48}"/>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67243df1821abed535ea464cfb08421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2a0235cb5b09edca82255e7b650bc373"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8DAC67-56C6-4DF6-9C5A-544BC571C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2EF8B-66EA-4F82-A307-9453EED8E31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f9cdfa-f4fd-4645-9be5-758c49499792"/>
    <ds:schemaRef ds:uri="c102cb31-f5d5-4956-a0cb-1590ba369788"/>
    <ds:schemaRef ds:uri="http://www.w3.org/XML/1998/namespace"/>
    <ds:schemaRef ds:uri="http://purl.org/dc/dcmitype/"/>
  </ds:schemaRefs>
</ds:datastoreItem>
</file>

<file path=customXml/itemProps3.xml><?xml version="1.0" encoding="utf-8"?>
<ds:datastoreItem xmlns:ds="http://schemas.openxmlformats.org/officeDocument/2006/customXml" ds:itemID="{6780A987-4A38-4293-857B-392ED21F9808}">
  <ds:schemaRefs>
    <ds:schemaRef ds:uri="http://schemas.microsoft.com/sharepoint/v3/contenttype/forms"/>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1</vt:i4>
      </vt:variant>
    </vt:vector>
  </HeadingPairs>
  <TitlesOfParts>
    <vt:vector size="9" baseType="lpstr">
      <vt:lpstr>Content</vt:lpstr>
      <vt:lpstr>1. Summary</vt:lpstr>
      <vt:lpstr>2. Macro</vt:lpstr>
      <vt:lpstr>3. GGbudget</vt:lpstr>
      <vt:lpstr>4. SurplusGG</vt:lpstr>
      <vt:lpstr>5. GGexpenditure</vt:lpstr>
      <vt:lpstr>6. GGbudgets</vt:lpstr>
      <vt:lpstr>7. History</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2025-11-05T09:08:10Z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Order">
    <vt:r8>15327300</vt:r8>
  </property>
  <property fmtid="{D5CDD505-2E9C-101B-9397-08002B2CF9AE}" pid="6" name="TriggerFlowInfo">
    <vt:lpwstr/>
  </property>
  <property fmtid="{D5CDD505-2E9C-101B-9397-08002B2CF9AE}" pid="7" name="MediaServiceImageTags">
    <vt:lpwstr/>
  </property>
</Properties>
</file>