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codeName="Šios_darbaknygės"/>
  <mc:AlternateContent xmlns:mc="http://schemas.openxmlformats.org/markup-compatibility/2006">
    <mc:Choice Requires="x15">
      <x15ac:absPath xmlns:x15ac="http://schemas.microsoft.com/office/spreadsheetml/2010/11/ac" url="C:\Users\tkrenevicius\Desktop\Naujas aplankas\"/>
    </mc:Choice>
  </mc:AlternateContent>
  <xr:revisionPtr revIDLastSave="0" documentId="13_ncr:1_{87BF93E8-8697-4EB8-82AD-A512D7EF98E7}" xr6:coauthVersionLast="47" xr6:coauthVersionMax="47" xr10:uidLastSave="{00000000-0000-0000-0000-000000000000}"/>
  <bookViews>
    <workbookView xWindow="4940" yWindow="4940" windowWidth="28800" windowHeight="15370" xr2:uid="{A1AE88F9-CA63-4FDE-B84D-B54A80B5E975}"/>
  </bookViews>
  <sheets>
    <sheet name="Content" sheetId="1" r:id="rId1"/>
    <sheet name="1. Summary" sheetId="2" r:id="rId2"/>
    <sheet name="2. Macro" sheetId="3" r:id="rId3"/>
    <sheet name="3. GGbudget" sheetId="4" r:id="rId4"/>
    <sheet name="4. SurplusGG" sheetId="5" r:id="rId5"/>
    <sheet name="5. GGexpenditure" sheetId="6" r:id="rId6"/>
    <sheet name="6. GGbudgets" sheetId="7" r:id="rId7"/>
    <sheet name="7. History" sheetId="8" r:id="rId8"/>
  </sheets>
  <definedNames>
    <definedName name="eps" localSheetId="7">#REF!</definedName>
    <definedName name="eps">'2. Macro'!$D$47</definedName>
    <definedName name="Kalba">#REF!</definedName>
    <definedName name="meta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2" i="3" l="1"/>
  <c r="E30" i="4"/>
  <c r="E6" i="5" l="1"/>
  <c r="E7" i="5"/>
  <c r="E8" i="5"/>
  <c r="G15" i="6"/>
  <c r="F15" i="6"/>
  <c r="G9" i="6"/>
  <c r="F9" i="6"/>
  <c r="I27" i="3" l="1"/>
  <c r="F21" i="7"/>
  <c r="E21" i="7"/>
  <c r="F6" i="6" l="1"/>
  <c r="F7" i="6"/>
  <c r="G52" i="6"/>
  <c r="F52" i="6"/>
  <c r="F45" i="6"/>
  <c r="F39" i="6" l="1"/>
  <c r="H30" i="4"/>
  <c r="F28" i="5" s="1"/>
  <c r="F31" i="5"/>
  <c r="E31" i="5"/>
  <c r="E30" i="5"/>
  <c r="F29" i="5"/>
  <c r="E29" i="5"/>
  <c r="E28" i="5"/>
  <c r="H31" i="4"/>
  <c r="H32" i="4"/>
  <c r="G32" i="4"/>
  <c r="G30" i="4"/>
  <c r="F32" i="4"/>
  <c r="F31" i="4"/>
  <c r="F30" i="4"/>
  <c r="E31" i="4"/>
  <c r="E32" i="4"/>
  <c r="H6" i="4" l="1"/>
  <c r="G6" i="4"/>
  <c r="F6" i="4"/>
  <c r="E6" i="4"/>
  <c r="AC8" i="8" l="1"/>
  <c r="AC7" i="8"/>
  <c r="W8" i="8"/>
  <c r="W7" i="8"/>
  <c r="L35" i="3" l="1"/>
  <c r="L36" i="3"/>
  <c r="L34" i="3"/>
  <c r="L32" i="3"/>
  <c r="L5" i="3" l="1"/>
  <c r="P5" i="3"/>
  <c r="P8" i="3"/>
  <c r="P9" i="3"/>
  <c r="P12" i="3"/>
  <c r="P19" i="3" s="1"/>
  <c r="P13" i="3"/>
  <c r="P17" i="3"/>
  <c r="P18" i="3"/>
  <c r="P27" i="3"/>
  <c r="P21" i="3" l="1"/>
  <c r="P23" i="3"/>
  <c r="P25" i="3"/>
  <c r="P28" i="3"/>
  <c r="P20" i="3"/>
  <c r="Z8" i="8"/>
  <c r="Z7" i="8"/>
  <c r="P24" i="3" l="1"/>
  <c r="P26" i="3"/>
  <c r="P22" i="3"/>
  <c r="C6" i="2" l="1"/>
  <c r="E21" i="4"/>
  <c r="E7" i="4" l="1"/>
  <c r="E27" i="3" l="1"/>
  <c r="E19" i="3"/>
  <c r="E21" i="3" s="1"/>
  <c r="E20" i="3"/>
  <c r="E22" i="3" s="1"/>
  <c r="E28" i="3"/>
  <c r="E34" i="3"/>
  <c r="E36" i="3" s="1"/>
  <c r="E35" i="3"/>
  <c r="F9" i="3"/>
  <c r="F10" i="3"/>
  <c r="F13" i="3"/>
  <c r="F14" i="3"/>
  <c r="F17" i="3"/>
  <c r="F18" i="3"/>
  <c r="O9" i="3"/>
  <c r="O8" i="3"/>
  <c r="P10" i="3" s="1"/>
  <c r="O12" i="3"/>
  <c r="O13" i="3"/>
  <c r="O17" i="3"/>
  <c r="O18" i="3"/>
  <c r="O27" i="3"/>
  <c r="P29" i="3" s="1"/>
  <c r="N9" i="3"/>
  <c r="E5" i="3"/>
  <c r="O19" i="3" l="1"/>
  <c r="O23" i="3" s="1"/>
  <c r="P14" i="3"/>
  <c r="O28" i="3"/>
  <c r="P30" i="3" s="1"/>
  <c r="O20" i="3"/>
  <c r="O24" i="3" s="1"/>
  <c r="O25" i="3" l="1"/>
  <c r="O21" i="3"/>
  <c r="O22" i="3"/>
  <c r="O26" i="3"/>
  <c r="T8" i="8"/>
  <c r="Q8" i="8"/>
  <c r="N8" i="8"/>
  <c r="K8" i="8"/>
  <c r="H8" i="8"/>
  <c r="F8" i="8"/>
  <c r="D8" i="8"/>
  <c r="T7" i="8"/>
  <c r="Q7" i="8"/>
  <c r="N7" i="8"/>
  <c r="K7" i="8"/>
  <c r="H7" i="8"/>
  <c r="F7" i="8"/>
  <c r="D7" i="8"/>
  <c r="U6" i="8"/>
  <c r="F7" i="4" l="1"/>
  <c r="G35" i="3"/>
  <c r="D18" i="3"/>
  <c r="L9" i="3"/>
  <c r="L8" i="3"/>
  <c r="D26" i="3" l="1"/>
  <c r="D38" i="3" s="1"/>
  <c r="F21" i="4" l="1"/>
  <c r="F34" i="3" l="1"/>
  <c r="G34" i="3"/>
  <c r="H34" i="3"/>
  <c r="I34" i="3"/>
  <c r="J34" i="3"/>
  <c r="K34" i="3"/>
  <c r="L13" i="3" l="1"/>
  <c r="M13" i="3"/>
  <c r="N13" i="3"/>
  <c r="M12" i="3"/>
  <c r="M14" i="3" s="1"/>
  <c r="N12" i="3"/>
  <c r="L14" i="3"/>
  <c r="L10" i="3"/>
  <c r="M9" i="3"/>
  <c r="M8" i="3"/>
  <c r="N8" i="3"/>
  <c r="K9" i="3"/>
  <c r="F5" i="3"/>
  <c r="G5" i="3" s="1"/>
  <c r="H5" i="3" s="1"/>
  <c r="I5" i="3" s="1"/>
  <c r="J5" i="3" s="1"/>
  <c r="K5" i="3" s="1"/>
  <c r="N14" i="3" l="1"/>
  <c r="O14" i="3"/>
  <c r="N10" i="3"/>
  <c r="O10" i="3"/>
  <c r="M10" i="3"/>
  <c r="G56" i="6" l="1"/>
  <c r="F56" i="6"/>
  <c r="F53" i="6" l="1"/>
  <c r="K36" i="3" l="1"/>
  <c r="K35" i="3"/>
  <c r="H29" i="4" l="1"/>
  <c r="G29" i="4"/>
  <c r="H19" i="4"/>
  <c r="G19" i="4"/>
  <c r="H17" i="4"/>
  <c r="G17" i="4"/>
  <c r="H21" i="4" l="1"/>
  <c r="G21" i="4"/>
  <c r="F40" i="6" l="1"/>
  <c r="F54" i="6" s="1"/>
  <c r="F55" i="6" s="1"/>
  <c r="H23" i="4" l="1"/>
  <c r="G23" i="4"/>
  <c r="K20" i="3" l="1"/>
  <c r="F19" i="3"/>
  <c r="F21" i="3" s="1"/>
  <c r="G19" i="3"/>
  <c r="H19" i="3"/>
  <c r="I19" i="3"/>
  <c r="J19" i="3"/>
  <c r="K19" i="3"/>
  <c r="M18" i="3"/>
  <c r="M17" i="3"/>
  <c r="K25" i="3" l="1"/>
  <c r="K23" i="3"/>
  <c r="J23" i="3"/>
  <c r="J25" i="3"/>
  <c r="I23" i="3"/>
  <c r="I25" i="3"/>
  <c r="K24" i="3"/>
  <c r="K26" i="3"/>
  <c r="G17" i="6"/>
  <c r="F17" i="6"/>
  <c r="G18" i="6" s="1"/>
  <c r="G19" i="6" l="1"/>
  <c r="F19" i="6"/>
  <c r="F18" i="6"/>
  <c r="K27" i="3"/>
  <c r="G5" i="4"/>
  <c r="G10" i="4" l="1"/>
  <c r="G28" i="4"/>
  <c r="G20" i="4"/>
  <c r="G18" i="4"/>
  <c r="G24" i="4"/>
  <c r="D19" i="3" l="1"/>
  <c r="K13" i="3" l="1"/>
  <c r="L17" i="3" l="1"/>
  <c r="N17" i="3"/>
  <c r="L18" i="3"/>
  <c r="N18" i="3"/>
  <c r="K17" i="3"/>
  <c r="L19" i="3" l="1"/>
  <c r="M27" i="3"/>
  <c r="L20" i="3"/>
  <c r="L27" i="3"/>
  <c r="N27" i="3"/>
  <c r="O29" i="3" s="1"/>
  <c r="G13" i="3"/>
  <c r="H13" i="3"/>
  <c r="I13" i="3"/>
  <c r="J13" i="3"/>
  <c r="G10" i="3"/>
  <c r="H10" i="3"/>
  <c r="I10" i="3"/>
  <c r="J10" i="3"/>
  <c r="K10" i="3"/>
  <c r="G9" i="3"/>
  <c r="H9" i="3"/>
  <c r="I9" i="3"/>
  <c r="J9" i="3"/>
  <c r="L24" i="3" l="1"/>
  <c r="L26" i="3"/>
  <c r="L22" i="3"/>
  <c r="L23" i="3"/>
  <c r="L25" i="3"/>
  <c r="L21" i="3"/>
  <c r="M20" i="3"/>
  <c r="M19" i="3"/>
  <c r="H18" i="4"/>
  <c r="H24" i="4"/>
  <c r="H20" i="4"/>
  <c r="H28" i="4"/>
  <c r="M29" i="3"/>
  <c r="N29" i="3"/>
  <c r="H5" i="4"/>
  <c r="M25" i="3" l="1"/>
  <c r="M21" i="3"/>
  <c r="M23" i="3"/>
  <c r="M22" i="3"/>
  <c r="M24" i="3"/>
  <c r="M26" i="3"/>
  <c r="N19" i="3"/>
  <c r="N20" i="3"/>
  <c r="G17" i="3"/>
  <c r="N24" i="3" l="1"/>
  <c r="N26" i="3"/>
  <c r="N25" i="3"/>
  <c r="N23" i="3"/>
  <c r="N22" i="3"/>
  <c r="E11" i="7"/>
  <c r="E12" i="7"/>
  <c r="F11" i="7"/>
  <c r="F12" i="7"/>
  <c r="N21" i="3"/>
  <c r="K28" i="3"/>
  <c r="K21" i="3"/>
  <c r="C7" i="2" l="1"/>
  <c r="J20" i="3" l="1"/>
  <c r="J26" i="3" l="1"/>
  <c r="J24" i="3"/>
  <c r="F43" i="6"/>
  <c r="F23" i="5" l="1"/>
  <c r="E23" i="5"/>
  <c r="D12" i="2" l="1"/>
  <c r="C12" i="2"/>
  <c r="E36" i="5"/>
  <c r="E39" i="5"/>
  <c r="E38" i="5"/>
  <c r="E37" i="5"/>
  <c r="E32" i="5"/>
  <c r="F18" i="5" l="1"/>
  <c r="E18" i="5"/>
  <c r="E17" i="5"/>
  <c r="E19" i="5" s="1"/>
  <c r="F17" i="5"/>
  <c r="F19" i="5" s="1"/>
  <c r="E40" i="5"/>
  <c r="F44" i="6" l="1"/>
  <c r="G20" i="6" l="1"/>
  <c r="G21" i="6" s="1"/>
  <c r="G22" i="6" l="1"/>
  <c r="G68" i="6"/>
  <c r="I68" i="6" s="1"/>
  <c r="F67" i="6" l="1"/>
  <c r="H67" i="6" s="1"/>
  <c r="H11" i="4" l="1"/>
  <c r="H12" i="4" s="1"/>
  <c r="F24" i="7" s="1"/>
  <c r="G11" i="4"/>
  <c r="G12" i="4" s="1"/>
  <c r="F7" i="7" l="1"/>
  <c r="F6" i="7"/>
  <c r="H22" i="4"/>
  <c r="G40" i="6"/>
  <c r="G54" i="6" s="1"/>
  <c r="H10" i="4"/>
  <c r="J36" i="3"/>
  <c r="I36" i="3"/>
  <c r="H36" i="3"/>
  <c r="G36" i="3"/>
  <c r="F36" i="3"/>
  <c r="J35" i="3"/>
  <c r="I35" i="3"/>
  <c r="H35" i="3"/>
  <c r="F35" i="3"/>
  <c r="K32" i="3"/>
  <c r="J32" i="3"/>
  <c r="I32" i="3"/>
  <c r="H32" i="3"/>
  <c r="G32" i="3"/>
  <c r="F32" i="3"/>
  <c r="D30" i="3"/>
  <c r="D29" i="3"/>
  <c r="J28" i="3"/>
  <c r="K30" i="3" s="1"/>
  <c r="I28" i="3"/>
  <c r="H28" i="3"/>
  <c r="G28" i="3"/>
  <c r="F28" i="3"/>
  <c r="F30" i="3" s="1"/>
  <c r="D28" i="3"/>
  <c r="L29" i="3"/>
  <c r="J27" i="3"/>
  <c r="K29" i="3" s="1"/>
  <c r="H27" i="3"/>
  <c r="G27" i="3"/>
  <c r="F27" i="3"/>
  <c r="F29" i="3" s="1"/>
  <c r="D27" i="3"/>
  <c r="D39" i="3"/>
  <c r="D25" i="3"/>
  <c r="D24" i="3"/>
  <c r="D23" i="3"/>
  <c r="D22" i="3"/>
  <c r="D21" i="3"/>
  <c r="D31" i="3" s="1"/>
  <c r="D33" i="3" s="1"/>
  <c r="D34" i="3" s="1"/>
  <c r="D36" i="3" s="1"/>
  <c r="I20" i="3"/>
  <c r="H20" i="3"/>
  <c r="G20" i="3"/>
  <c r="G22" i="3" s="1"/>
  <c r="F20" i="3"/>
  <c r="D20" i="3"/>
  <c r="K18" i="3"/>
  <c r="J18" i="3"/>
  <c r="I18" i="3"/>
  <c r="H18" i="3"/>
  <c r="G18" i="3"/>
  <c r="J17" i="3"/>
  <c r="I17" i="3"/>
  <c r="H17" i="3"/>
  <c r="D17" i="3"/>
  <c r="K14" i="3"/>
  <c r="J14" i="3"/>
  <c r="I14" i="3"/>
  <c r="H14" i="3"/>
  <c r="G14" i="3"/>
  <c r="D13" i="3"/>
  <c r="D11" i="3"/>
  <c r="D10" i="3"/>
  <c r="D9" i="3"/>
  <c r="D32" i="3" l="1"/>
  <c r="I24" i="3"/>
  <c r="I26" i="3"/>
  <c r="D12" i="3"/>
  <c r="D14" i="3" s="1"/>
  <c r="D35" i="3"/>
  <c r="G8" i="6"/>
  <c r="F8" i="6"/>
  <c r="F14" i="6"/>
  <c r="G39" i="6"/>
  <c r="G53" i="6" s="1"/>
  <c r="G67" i="6"/>
  <c r="I67" i="6" s="1"/>
  <c r="G14" i="6"/>
  <c r="I29" i="3"/>
  <c r="H30" i="3"/>
  <c r="G46" i="6"/>
  <c r="G45" i="6"/>
  <c r="F46" i="6"/>
  <c r="J21" i="3"/>
  <c r="G29" i="3"/>
  <c r="J30" i="3"/>
  <c r="G26" i="4"/>
  <c r="G31" i="4" s="1"/>
  <c r="H26" i="4"/>
  <c r="G22" i="4"/>
  <c r="I30" i="3"/>
  <c r="J29" i="3"/>
  <c r="H29" i="3"/>
  <c r="G30" i="3"/>
  <c r="O5" i="3"/>
  <c r="N5" i="3"/>
  <c r="M5" i="3"/>
  <c r="H22" i="3"/>
  <c r="G21" i="3"/>
  <c r="I22" i="3"/>
  <c r="H21" i="3"/>
  <c r="F22" i="3"/>
  <c r="J22" i="3"/>
  <c r="I21" i="3"/>
  <c r="F16" i="6" l="1"/>
  <c r="F23" i="7"/>
  <c r="G55" i="6"/>
  <c r="F66" i="6"/>
  <c r="H66" i="6" s="1"/>
  <c r="F22" i="7"/>
  <c r="G66" i="6"/>
  <c r="I66" i="6" s="1"/>
  <c r="G16" i="6"/>
  <c r="F20" i="6"/>
  <c r="F21" i="6" s="1"/>
  <c r="F64" i="6"/>
  <c r="F10" i="6"/>
  <c r="G64" i="6"/>
  <c r="G10" i="6"/>
  <c r="E13" i="7"/>
  <c r="F13" i="7"/>
  <c r="F15" i="7" l="1"/>
  <c r="F14" i="7"/>
  <c r="F16" i="7" s="1"/>
  <c r="F9" i="7"/>
  <c r="I64" i="6"/>
  <c r="H64" i="6"/>
  <c r="F22" i="6"/>
  <c r="F68" i="6"/>
  <c r="H68" i="6" s="1"/>
  <c r="F8" i="7" l="1"/>
  <c r="F17" i="7"/>
  <c r="D27" i="2" s="1"/>
  <c r="F10" i="7"/>
  <c r="D26" i="2" s="1"/>
  <c r="D25" i="2"/>
  <c r="F18" i="7" l="1"/>
  <c r="D28" i="2" s="1"/>
  <c r="L28" i="3" l="1"/>
  <c r="L30" i="3" s="1"/>
  <c r="E24" i="4" l="1"/>
  <c r="E14" i="4"/>
  <c r="E16" i="4"/>
  <c r="M28" i="3"/>
  <c r="M30" i="3" s="1"/>
  <c r="E20" i="4"/>
  <c r="E18" i="4"/>
  <c r="E12" i="4"/>
  <c r="E22" i="4"/>
  <c r="E26" i="4"/>
  <c r="E28" i="4"/>
  <c r="E10" i="4"/>
  <c r="E8" i="4"/>
  <c r="F8" i="4" l="1"/>
  <c r="F16" i="4"/>
  <c r="F14" i="4"/>
  <c r="E23" i="7"/>
  <c r="F22" i="4"/>
  <c r="F18" i="4"/>
  <c r="F24" i="4"/>
  <c r="F28" i="4"/>
  <c r="F10" i="4"/>
  <c r="F20" i="4"/>
  <c r="F12" i="4"/>
  <c r="F26" i="4"/>
  <c r="N28" i="3"/>
  <c r="N30" i="3" l="1"/>
  <c r="O30" i="3"/>
  <c r="E24" i="7"/>
  <c r="E7" i="7" s="1"/>
  <c r="F11" i="6"/>
  <c r="F12" i="6" s="1"/>
  <c r="E22" i="7"/>
  <c r="E6" i="7" l="1"/>
  <c r="E9" i="7" s="1"/>
  <c r="E15" i="7"/>
  <c r="E14" i="7"/>
  <c r="F13" i="6"/>
  <c r="F65" i="6"/>
  <c r="H65" i="6" s="1"/>
  <c r="F23" i="6"/>
  <c r="E14" i="5"/>
  <c r="E16" i="5" s="1"/>
  <c r="E11" i="5"/>
  <c r="E13" i="5" s="1"/>
  <c r="E12" i="5"/>
  <c r="E9" i="5"/>
  <c r="E15" i="5"/>
  <c r="E10" i="5" l="1"/>
  <c r="E20" i="5"/>
  <c r="E8" i="7"/>
  <c r="F69" i="6"/>
  <c r="F24" i="6" s="1"/>
  <c r="C15" i="2" s="1"/>
  <c r="E16" i="7"/>
  <c r="E17" i="7"/>
  <c r="E10" i="7"/>
  <c r="C26" i="2" s="1"/>
  <c r="C25" i="2"/>
  <c r="F28" i="6"/>
  <c r="F31" i="6" s="1"/>
  <c r="F25" i="6"/>
  <c r="C14" i="2"/>
  <c r="F29" i="6"/>
  <c r="E21" i="5" l="1"/>
  <c r="C10" i="2" s="1"/>
  <c r="F21" i="5"/>
  <c r="D10" i="2" s="1"/>
  <c r="E22" i="5"/>
  <c r="C11" i="2" s="1"/>
  <c r="C9" i="2"/>
  <c r="F34" i="6"/>
  <c r="C21" i="2" s="1"/>
  <c r="F32" i="6"/>
  <c r="C19" i="2" s="1"/>
  <c r="E18" i="7"/>
  <c r="C28" i="2" s="1"/>
  <c r="C27" i="2"/>
  <c r="C18" i="2"/>
  <c r="C22" i="2"/>
  <c r="F33" i="6"/>
  <c r="C16" i="2"/>
  <c r="F26" i="6"/>
  <c r="C17" i="2" s="1"/>
  <c r="F30" i="6"/>
  <c r="C23" i="2" l="1"/>
  <c r="C20" i="2"/>
  <c r="G14" i="4" l="1"/>
  <c r="H14" i="4"/>
  <c r="G7" i="4"/>
  <c r="G8" i="4" s="1"/>
  <c r="H7" i="4"/>
  <c r="H8" i="4" s="1"/>
  <c r="H16" i="4"/>
  <c r="G43" i="6"/>
  <c r="G16" i="4"/>
  <c r="G44" i="6"/>
  <c r="F14" i="5" l="1"/>
  <c r="F16" i="5" s="1"/>
  <c r="G11" i="6"/>
  <c r="F9" i="5" l="1"/>
  <c r="F15" i="5"/>
  <c r="F8" i="5"/>
  <c r="F10" i="5" s="1"/>
  <c r="F11" i="5"/>
  <c r="F13" i="5" s="1"/>
  <c r="F12" i="5"/>
  <c r="G65" i="6"/>
  <c r="G13" i="6"/>
  <c r="G23" i="6"/>
  <c r="G12" i="6"/>
  <c r="F20" i="5" l="1"/>
  <c r="D9" i="2" s="1"/>
  <c r="G25" i="6"/>
  <c r="G29" i="6"/>
  <c r="D14" i="2"/>
  <c r="G28" i="6"/>
  <c r="G31" i="6" s="1"/>
  <c r="I65" i="6"/>
  <c r="G69" i="6"/>
  <c r="G32" i="6" s="1"/>
  <c r="D19" i="2" s="1"/>
  <c r="F22" i="5" l="1"/>
  <c r="D11" i="2" s="1"/>
  <c r="G24" i="6"/>
  <c r="D15" i="2" s="1"/>
  <c r="D18" i="2"/>
  <c r="D22" i="2"/>
  <c r="G33" i="6"/>
  <c r="G30" i="6"/>
  <c r="D16" i="2"/>
  <c r="G34" i="6"/>
  <c r="D21" i="2" s="1"/>
  <c r="G26" i="6"/>
  <c r="D17" i="2" s="1"/>
  <c r="D20" i="2" l="1"/>
  <c r="D23"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Autorius</author>
  </authors>
  <commentList>
    <comment ref="B33" authorId="0" shapeId="0" xr:uid="{4343F627-290C-48E1-BD09-1A0A722583D2}">
      <text>
        <r>
          <rPr>
            <b/>
            <sz val="9"/>
            <color indexed="81"/>
            <rFont val="Tahoma"/>
            <family val="2"/>
            <charset val="186"/>
          </rPr>
          <t>Vidutinio laikotarpio tikslas:</t>
        </r>
        <r>
          <rPr>
            <sz val="9"/>
            <color indexed="81"/>
            <rFont val="Tahoma"/>
            <family val="2"/>
            <charset val="186"/>
          </rPr>
          <t xml:space="preserve">
≥-1,0 proc. jeigu VS skolos ir BVP to meto kainomis santykis yra mažesnis nei 60 proc. BVP to meto kainomis ir rizika dėl Lietuvos VS finansų ilgalaikio tvarumo yra maža;
≥-0,5 proc. kitaip.</t>
        </r>
      </text>
    </comment>
  </commentList>
</comments>
</file>

<file path=xl/sharedStrings.xml><?xml version="1.0" encoding="utf-8"?>
<sst xmlns="http://schemas.openxmlformats.org/spreadsheetml/2006/main" count="482" uniqueCount="335">
  <si>
    <t xml:space="preserve">FISKALINĖS DRAUSMĖS TAISYKLIŲ LAIKYMOSI SKAIČIUOKLĖ / 
SPREADSHEET OF THE FULFILMENT OF FISCAL DISCIPLINE RULES  </t>
  </si>
  <si>
    <t>APRAŠYMAS / DESCRIPTION</t>
  </si>
  <si>
    <t xml:space="preserve">1. Fiskalinės drausmės taisyklių laikymosi suvestinė / Summary of the fulfilment of the fiscal discipline rules </t>
  </si>
  <si>
    <t>1. DUOMENYS / DATA</t>
  </si>
  <si>
    <t>2. Makroekonominiai ir ciklo rodikliai / Macroeconomic and cyclical indicators</t>
  </si>
  <si>
    <t>3. VS fiskaliniai rodikliai / GG fiscal indicators</t>
  </si>
  <si>
    <t>2. FISKALINĖS DRAUSMĖS TAISYKLĖS / FISCAL RULES</t>
  </si>
  <si>
    <t>4. Perteklinio VS taisyklė / Surplus GG rule</t>
  </si>
  <si>
    <t>5. VS išlaidų augimo ribojimo taisyklė / GG expenditure growth limiting rule</t>
  </si>
  <si>
    <t>6. VS priskiriamų biudžetų taisyklė / Rules for the budgets attributable to GG sector</t>
  </si>
  <si>
    <t>NUORODOS / REFERENCES</t>
  </si>
  <si>
    <t>KĮ</t>
  </si>
  <si>
    <t xml:space="preserve">Lietuvos Respublikos fiskalinės sutarties įgyvendinimo konstitucinis įstatymas </t>
  </si>
  <si>
    <t>CL</t>
  </si>
  <si>
    <t>Republic of Lithuania Constitutional Law on the Implementation of the Fiscal Treaty</t>
  </si>
  <si>
    <t>FDĮ</t>
  </si>
  <si>
    <t xml:space="preserve">Lietuvos Respublikos fiskalinės drausmės įstatymas </t>
  </si>
  <si>
    <t>FDL</t>
  </si>
  <si>
    <t>Republic of Lithuania Fiscal Discipline Law</t>
  </si>
  <si>
    <t>↖ Turinys  / Content</t>
  </si>
  <si>
    <t>LT</t>
  </si>
  <si>
    <t>Taisyklė / Rule</t>
  </si>
  <si>
    <r>
      <t xml:space="preserve">Institucija, kurios projekcijų pagrindu atliekama analizė
</t>
    </r>
    <r>
      <rPr>
        <i/>
        <sz val="11"/>
        <rFont val="Arial"/>
        <family val="2"/>
        <charset val="186"/>
      </rPr>
      <t>Institution, projections of which are used for the analysis</t>
    </r>
  </si>
  <si>
    <t>FM</t>
  </si>
  <si>
    <t>VK FI</t>
  </si>
  <si>
    <t>Perteklinio VS taisyklė / Surplus GG sector rule</t>
  </si>
  <si>
    <t xml:space="preserve">Ar patenkinta bent viena perteklinio VS taisyklės sąlygų?
</t>
  </si>
  <si>
    <t>Is at least one condition of the surplus GG rule satisfied?</t>
  </si>
  <si>
    <r>
      <t xml:space="preserve">Ar </t>
    </r>
    <r>
      <rPr>
        <i/>
        <sz val="11"/>
        <color rgb="FF000000"/>
        <rFont val="Arial"/>
        <family val="2"/>
        <charset val="186"/>
      </rPr>
      <t>t</t>
    </r>
    <r>
      <rPr>
        <sz val="11"/>
        <color rgb="FF000000"/>
        <rFont val="Arial"/>
        <family val="2"/>
        <charset val="186"/>
      </rPr>
      <t xml:space="preserve"> metai yra išskirtinių aplinkybių metai?</t>
    </r>
  </si>
  <si>
    <t>Is year t a year of exceptional circumstances?</t>
  </si>
  <si>
    <t>VS išlaidų augimo ribojimo taisyklė / GG expenditure growth limiting rule</t>
  </si>
  <si>
    <t xml:space="preserve">Ar susidaro bent viena aplinkybė, leidžianti netaikyti VS išlaidų augimo ribojimo taisyklės?
</t>
  </si>
  <si>
    <t>Is at least one escape clause, which allows switching off GG expenditure growth limiting rule, valid?</t>
  </si>
  <si>
    <t>Ar taikoma VS išlaidų augimą ribojimo taisyklė?</t>
  </si>
  <si>
    <t>Is GG expenditure growth limiting rule applied?</t>
  </si>
  <si>
    <t>Ar galioja VS išlaidų augimo ribojimo taisyklė?</t>
  </si>
  <si>
    <t>Is GG expenditure growth limiting rule valid?</t>
  </si>
  <si>
    <t>VS priskiriamų biudžetų taisyklės / Rules for the budgets attributable to GG sector</t>
  </si>
  <si>
    <t>Netikrinama</t>
  </si>
  <si>
    <t>Taisyklė PSDF struktūriniam biudžetui</t>
  </si>
  <si>
    <t>Rule for NHIF structural budget</t>
  </si>
  <si>
    <t>Taisyklė VSDF struktūriniam biudžetui</t>
  </si>
  <si>
    <t>Rule for SSIF structural budget</t>
  </si>
  <si>
    <t>Šaltiniai:</t>
  </si>
  <si>
    <t>Sources:</t>
  </si>
  <si>
    <t>Finansų ministerija</t>
  </si>
  <si>
    <t>Ministry of Finance</t>
  </si>
  <si>
    <t>Valstybės kontrolė, vykdanti fiskalinės institucijos funkcijas</t>
  </si>
  <si>
    <t>National Audit Office of Lithuania, implementing the functions of the fiscal 
institution</t>
  </si>
  <si>
    <t>2. Makroekonominiai ir ciklo rodikliai 
Macroeconomic and cyclical indicators</t>
  </si>
  <si>
    <r>
      <t xml:space="preserve">Rodiklis
</t>
    </r>
    <r>
      <rPr>
        <i/>
        <sz val="11"/>
        <color rgb="FF000000"/>
        <rFont val="Arial"/>
        <family val="2"/>
        <charset val="186"/>
      </rPr>
      <t>Indicator</t>
    </r>
  </si>
  <si>
    <r>
      <t xml:space="preserve">Žymėjimas | Formulė
</t>
    </r>
    <r>
      <rPr>
        <i/>
        <sz val="11"/>
        <color rgb="FF000000"/>
        <rFont val="Arial"/>
        <family val="2"/>
        <charset val="186"/>
      </rPr>
      <t xml:space="preserve">Notation | Formula     </t>
    </r>
    <r>
      <rPr>
        <sz val="11"/>
        <color rgb="FF000000"/>
        <rFont val="Arial"/>
        <family val="2"/>
        <charset val="186"/>
      </rPr>
      <t xml:space="preserve">               </t>
    </r>
  </si>
  <si>
    <r>
      <t xml:space="preserve">Duomenys atnaujinti
</t>
    </r>
    <r>
      <rPr>
        <i/>
        <sz val="11"/>
        <rFont val="Arial"/>
        <family val="2"/>
        <charset val="186"/>
      </rPr>
      <t>Data updated on</t>
    </r>
  </si>
  <si>
    <t>Laikas / Time</t>
  </si>
  <si>
    <t>T</t>
  </si>
  <si>
    <t>t−2</t>
  </si>
  <si>
    <t>t−1</t>
  </si>
  <si>
    <t>t</t>
  </si>
  <si>
    <t>t+1</t>
  </si>
  <si>
    <t>t+2</t>
  </si>
  <si>
    <r>
      <t xml:space="preserve">Nominalusis BVP, mln. EUR
</t>
    </r>
    <r>
      <rPr>
        <i/>
        <sz val="11"/>
        <color rgb="FF000000"/>
        <rFont val="Arial"/>
        <family val="2"/>
        <charset val="186"/>
      </rPr>
      <t>Nominal GDP, million EUR</t>
    </r>
  </si>
  <si>
    <t>YN(T)</t>
  </si>
  <si>
    <r>
      <t xml:space="preserve">Nominalusis BVP, metinis augimas proc.
</t>
    </r>
    <r>
      <rPr>
        <i/>
        <sz val="11"/>
        <color rgb="FF000000"/>
        <rFont val="Arial"/>
        <family val="2"/>
        <charset val="186"/>
      </rPr>
      <t>Nominal GDP growth, annual % change</t>
    </r>
  </si>
  <si>
    <t>ΔYN(T)=(YN(T)/YN(T–1)–1)∙100</t>
  </si>
  <si>
    <r>
      <t xml:space="preserve">Realusis BVP, mln. EUR
</t>
    </r>
    <r>
      <rPr>
        <i/>
        <sz val="11"/>
        <color rgb="FF000000"/>
        <rFont val="Arial"/>
        <family val="2"/>
        <charset val="186"/>
      </rPr>
      <t>Real GDP, million EUR</t>
    </r>
  </si>
  <si>
    <t>YR(T)</t>
  </si>
  <si>
    <r>
      <t xml:space="preserve">Realusis BVP, metinis augimas proc.
</t>
    </r>
    <r>
      <rPr>
        <i/>
        <sz val="11"/>
        <color rgb="FF000000"/>
        <rFont val="Arial"/>
        <family val="2"/>
        <charset val="186"/>
      </rPr>
      <t>Real GDP growth, annual % change</t>
    </r>
  </si>
  <si>
    <t>ΔYR(T)=(YR(T)/YR(T–1)–1)∙100</t>
  </si>
  <si>
    <t>Potencialus BVP, mln. EUR
Potential GDP, million EUR</t>
  </si>
  <si>
    <t>Y*(T)</t>
  </si>
  <si>
    <t>Potencialus BVP, metinis augimas proc.
Potential GDP growth, annual % change</t>
  </si>
  <si>
    <t>ΔY*(T)=(Y*(T)/Y*(T–1)–1)∙100</t>
  </si>
  <si>
    <r>
      <t xml:space="preserve">Atotrūkis nuo potencialo, proc. pot. BVP
</t>
    </r>
    <r>
      <rPr>
        <i/>
        <sz val="11"/>
        <color rgb="FF000000"/>
        <rFont val="Arial"/>
        <family val="2"/>
        <charset val="186"/>
      </rPr>
      <t>Output gap (OG), % pot. GDP</t>
    </r>
  </si>
  <si>
    <t>AP(T)=(YR(T)/Y*(T)–1)∙100</t>
  </si>
  <si>
    <r>
      <t xml:space="preserve">Ciklinė VS biudžeto dedamoji, proc. pot. BVP
</t>
    </r>
    <r>
      <rPr>
        <i/>
        <sz val="11"/>
        <rFont val="Arial"/>
        <family val="2"/>
        <charset val="186"/>
      </rPr>
      <t>Cyclical GG budgetary component, % pot. GDP</t>
    </r>
  </si>
  <si>
    <t>CB(T) = ε∙AP(T)</t>
  </si>
  <si>
    <r>
      <t xml:space="preserve">Ciklinė VSDF biudžeto dedamoji, proc. pot. BVP
</t>
    </r>
    <r>
      <rPr>
        <i/>
        <sz val="11"/>
        <rFont val="Arial"/>
        <family val="2"/>
        <charset val="186"/>
      </rPr>
      <t>Cyclical SSIF budgetary component, % pot. GDP</t>
    </r>
  </si>
  <si>
    <r>
      <t>CB</t>
    </r>
    <r>
      <rPr>
        <vertAlign val="subscript"/>
        <sz val="11"/>
        <rFont val="Arial"/>
        <family val="2"/>
        <charset val="186"/>
      </rPr>
      <t>VSDF</t>
    </r>
    <r>
      <rPr>
        <sz val="11"/>
        <rFont val="Arial"/>
        <family val="2"/>
        <charset val="186"/>
      </rPr>
      <t>(T) = ε</t>
    </r>
    <r>
      <rPr>
        <vertAlign val="subscript"/>
        <sz val="11"/>
        <rFont val="Arial"/>
        <family val="2"/>
        <charset val="186"/>
      </rPr>
      <t>VSDF</t>
    </r>
    <r>
      <rPr>
        <sz val="11"/>
        <rFont val="Arial"/>
        <family val="2"/>
        <charset val="186"/>
      </rPr>
      <t>∙AP(T)</t>
    </r>
  </si>
  <si>
    <r>
      <t xml:space="preserve">Ciklinė PSDF biudžeto dedamoji, proc. pot. BVP
</t>
    </r>
    <r>
      <rPr>
        <i/>
        <sz val="11"/>
        <rFont val="Arial"/>
        <family val="2"/>
        <charset val="186"/>
      </rPr>
      <t>Cyclical NHIF budgetary component, % pot. GDP</t>
    </r>
  </si>
  <si>
    <r>
      <t>CB</t>
    </r>
    <r>
      <rPr>
        <vertAlign val="subscript"/>
        <sz val="11"/>
        <rFont val="Arial"/>
        <family val="2"/>
        <charset val="186"/>
      </rPr>
      <t>PSDF</t>
    </r>
    <r>
      <rPr>
        <sz val="11"/>
        <rFont val="Arial"/>
        <family val="2"/>
        <charset val="186"/>
      </rPr>
      <t>(T) = ε</t>
    </r>
    <r>
      <rPr>
        <vertAlign val="subscript"/>
        <sz val="11"/>
        <rFont val="Arial"/>
        <family val="2"/>
        <charset val="186"/>
      </rPr>
      <t>PSDF</t>
    </r>
    <r>
      <rPr>
        <sz val="11"/>
        <rFont val="Arial"/>
        <family val="2"/>
        <charset val="186"/>
      </rPr>
      <t>∙AP(T)</t>
    </r>
  </si>
  <si>
    <t>P(T) = YN(T)/YR(T)</t>
  </si>
  <si>
    <r>
      <t xml:space="preserve">BVP defliatorius, metinis augimas proc.
</t>
    </r>
    <r>
      <rPr>
        <i/>
        <sz val="11"/>
        <color rgb="FF000000"/>
        <rFont val="Arial"/>
        <family val="2"/>
        <charset val="186"/>
      </rPr>
      <t>GDP deflator, annual % change</t>
    </r>
  </si>
  <si>
    <t>ΔP(T)=(P(T)/P(T–1)–1)∙100</t>
  </si>
  <si>
    <r>
      <t xml:space="preserve">ES nominalus BVP, mlrd. EUR
</t>
    </r>
    <r>
      <rPr>
        <i/>
        <sz val="11"/>
        <color rgb="FF000000"/>
        <rFont val="Arial"/>
        <family val="2"/>
        <charset val="186"/>
      </rPr>
      <t>EU nominal GDP, billion EUR</t>
    </r>
  </si>
  <si>
    <r>
      <t>YN</t>
    </r>
    <r>
      <rPr>
        <vertAlign val="subscript"/>
        <sz val="11"/>
        <rFont val="Arial"/>
        <family val="2"/>
        <charset val="186"/>
      </rPr>
      <t>ES</t>
    </r>
    <r>
      <rPr>
        <sz val="11"/>
        <rFont val="Arial"/>
        <family val="2"/>
        <charset val="186"/>
      </rPr>
      <t>(T)</t>
    </r>
  </si>
  <si>
    <r>
      <t xml:space="preserve">ES nominalus BVP, metinis augimas proc.
</t>
    </r>
    <r>
      <rPr>
        <i/>
        <sz val="11"/>
        <color rgb="FF000000"/>
        <rFont val="Arial"/>
        <family val="2"/>
        <charset val="186"/>
      </rPr>
      <t>EU nominal GDP growth, annual % change</t>
    </r>
  </si>
  <si>
    <r>
      <t>ΔYN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(T)/YN</t>
    </r>
    <r>
      <rPr>
        <vertAlign val="subscript"/>
        <sz val="11"/>
        <rFont val="Arial"/>
        <family val="2"/>
        <charset val="186"/>
      </rPr>
      <t>ES</t>
    </r>
    <r>
      <rPr>
        <sz val="11"/>
        <rFont val="Arial"/>
        <family val="2"/>
        <charset val="186"/>
      </rPr>
      <t>(T–1)–1)∙100</t>
    </r>
  </si>
  <si>
    <r>
      <t xml:space="preserve">VS biudžeto balansas mln. EUR
</t>
    </r>
    <r>
      <rPr>
        <i/>
        <sz val="11"/>
        <rFont val="Arial"/>
        <family val="2"/>
        <charset val="186"/>
      </rPr>
      <t>Balance of GG budget, million EUR</t>
    </r>
  </si>
  <si>
    <t>BL(T)</t>
  </si>
  <si>
    <r>
      <t xml:space="preserve">VS biudžeto balansas proc. BVP
</t>
    </r>
    <r>
      <rPr>
        <i/>
        <sz val="11"/>
        <color rgb="FF000000"/>
        <rFont val="Arial"/>
        <family val="2"/>
        <charset val="186"/>
      </rPr>
      <t>Balance of GG budget, % of GDP</t>
    </r>
  </si>
  <si>
    <t>B(T)=BL(T)/YN(T)</t>
  </si>
  <si>
    <r>
      <t xml:space="preserve">VS biudžeto dalinis elastingumas pot. BVP
</t>
    </r>
    <r>
      <rPr>
        <i/>
        <sz val="11"/>
        <color rgb="FF000000"/>
        <rFont val="Arial"/>
        <family val="2"/>
        <charset val="186"/>
      </rPr>
      <t>Semi-elasticity of the GG budget to the OG</t>
    </r>
  </si>
  <si>
    <t>ε</t>
  </si>
  <si>
    <r>
      <t xml:space="preserve">VSDF biudžeto semi-elastingumas pot. BVP
</t>
    </r>
    <r>
      <rPr>
        <i/>
        <sz val="11"/>
        <color rgb="FF000000"/>
        <rFont val="Arial"/>
        <family val="2"/>
        <charset val="186"/>
      </rPr>
      <t>Semi-elasticity of the SSIF budget to the OG</t>
    </r>
  </si>
  <si>
    <r>
      <t>ε</t>
    </r>
    <r>
      <rPr>
        <vertAlign val="subscript"/>
        <sz val="11"/>
        <color rgb="FF000000"/>
        <rFont val="Arial"/>
        <family val="2"/>
        <charset val="186"/>
      </rPr>
      <t>VSDF</t>
    </r>
  </si>
  <si>
    <r>
      <t xml:space="preserve">PSDF biudžeto semi-elastingumas pot. BVP
</t>
    </r>
    <r>
      <rPr>
        <i/>
        <sz val="11"/>
        <rFont val="Arial"/>
        <family val="2"/>
        <charset val="186"/>
      </rPr>
      <t>Semi-elasticity of the NHIF budget to the OG</t>
    </r>
  </si>
  <si>
    <r>
      <t>ε</t>
    </r>
    <r>
      <rPr>
        <vertAlign val="subscript"/>
        <sz val="11"/>
        <rFont val="Arial"/>
        <family val="2"/>
        <charset val="186"/>
      </rPr>
      <t>PSDF</t>
    </r>
  </si>
  <si>
    <t>Finansų ministerija (FM)</t>
  </si>
  <si>
    <t>Valstybės kontrolės, vykdančios fiskalinės institucijos funkcijas, skaičiavimai</t>
  </si>
  <si>
    <t>ERS – ekonominės raidos scenarijus</t>
  </si>
  <si>
    <t>Dėmesio: langeliai su formulėmis, atnaujinami tik spalvoti langeliai</t>
  </si>
  <si>
    <t>Warning: cells with formulas, data inputs are marked with coloured cells</t>
  </si>
  <si>
    <t>Apvalinimo tikslumas</t>
  </si>
  <si>
    <t>3. VS fiskaliniai rodikliai 
GG fiscal indicators</t>
  </si>
  <si>
    <r>
      <t xml:space="preserve">Žymėjimas | Formulė    
</t>
    </r>
    <r>
      <rPr>
        <i/>
        <sz val="11"/>
        <color rgb="FF000000"/>
        <rFont val="Arial"/>
        <family val="2"/>
        <charset val="186"/>
      </rPr>
      <t xml:space="preserve">   Notation | Formula</t>
    </r>
  </si>
  <si>
    <r>
      <t xml:space="preserve">Matavimo vnt.
</t>
    </r>
    <r>
      <rPr>
        <i/>
        <sz val="11"/>
        <color rgb="FF000000"/>
        <rFont val="Arial"/>
        <family val="2"/>
        <charset val="186"/>
      </rPr>
      <t>Unit</t>
    </r>
  </si>
  <si>
    <r>
      <t xml:space="preserve">Nominalusis BVP
</t>
    </r>
    <r>
      <rPr>
        <i/>
        <sz val="11"/>
        <color rgb="FF000000"/>
        <rFont val="Arial"/>
        <family val="2"/>
        <charset val="186"/>
      </rPr>
      <t>Nominal GDP</t>
    </r>
  </si>
  <si>
    <t>mln. EUR</t>
  </si>
  <si>
    <r>
      <t xml:space="preserve">Grynasis skolinimas (+) / grynasis skolinimasis (-), iš jo
</t>
    </r>
    <r>
      <rPr>
        <i/>
        <sz val="11"/>
        <rFont val="Arial"/>
        <family val="2"/>
        <charset val="186"/>
      </rPr>
      <t>Net lending (+) / net borrowing (-), of which</t>
    </r>
  </si>
  <si>
    <t>B=VP–VI</t>
  </si>
  <si>
    <t>% BVP / GDP</t>
  </si>
  <si>
    <r>
      <t xml:space="preserve">Valstybinis socialinio draudimo fondas
</t>
    </r>
    <r>
      <rPr>
        <i/>
        <sz val="11"/>
        <rFont val="Arial"/>
        <family val="2"/>
        <charset val="186"/>
      </rPr>
      <t>State Social Insurance Fund</t>
    </r>
  </si>
  <si>
    <t>VSDF</t>
  </si>
  <si>
    <r>
      <t xml:space="preserve">Privalomojo sveikatos draudimo fondas
</t>
    </r>
    <r>
      <rPr>
        <i/>
        <sz val="11"/>
        <rFont val="Arial"/>
        <family val="2"/>
        <charset val="186"/>
      </rPr>
      <t>National Health Insurance Fund</t>
    </r>
  </si>
  <si>
    <t>PSDF</t>
  </si>
  <si>
    <r>
      <t xml:space="preserve">Visos pajamos
</t>
    </r>
    <r>
      <rPr>
        <i/>
        <sz val="11"/>
        <rFont val="Arial"/>
        <family val="2"/>
        <charset val="186"/>
      </rPr>
      <t>Total revenues</t>
    </r>
  </si>
  <si>
    <t>VP</t>
  </si>
  <si>
    <r>
      <t xml:space="preserve">Visos išlaidos, iš jų
</t>
    </r>
    <r>
      <rPr>
        <i/>
        <sz val="11"/>
        <rFont val="Arial"/>
        <family val="2"/>
        <charset val="186"/>
      </rPr>
      <t>Total expenditures, of which</t>
    </r>
  </si>
  <si>
    <t>VI</t>
  </si>
  <si>
    <r>
      <t xml:space="preserve">Centrinė valdžia, be pervedimų SAF
</t>
    </r>
    <r>
      <rPr>
        <i/>
        <sz val="11"/>
        <rFont val="Arial"/>
        <family val="2"/>
        <charset val="186"/>
      </rPr>
      <t>Central government, net of transfers to SSF</t>
    </r>
  </si>
  <si>
    <t>CV</t>
  </si>
  <si>
    <r>
      <t xml:space="preserve">Socialinės apsaugos fondai, be pervedimų CV
</t>
    </r>
    <r>
      <rPr>
        <i/>
        <sz val="11"/>
        <rFont val="Arial"/>
        <family val="2"/>
        <charset val="186"/>
      </rPr>
      <t>Social Security Funds, net of transfers to CG</t>
    </r>
  </si>
  <si>
    <t>SAF</t>
  </si>
  <si>
    <r>
      <t xml:space="preserve">Konsoliduotos išlaidos VS posektorių, kurių išlaidos &gt; 3 proc. BVP
</t>
    </r>
    <r>
      <rPr>
        <i/>
        <sz val="11"/>
        <rFont val="Arial"/>
        <family val="2"/>
        <charset val="186"/>
      </rPr>
      <t>Consolidated expenditure of GG subsectors with exp. &gt; 3 % of GDP</t>
    </r>
  </si>
  <si>
    <t>AV3=CV+SAF</t>
  </si>
  <si>
    <r>
      <t xml:space="preserve">Vienkartinės ir kitos laikinosios priemonės
</t>
    </r>
    <r>
      <rPr>
        <i/>
        <sz val="11"/>
        <rFont val="Arial"/>
        <family val="2"/>
        <charset val="186"/>
      </rPr>
      <t>One-off and temporary measures</t>
    </r>
  </si>
  <si>
    <t>1klp</t>
  </si>
  <si>
    <r>
      <t xml:space="preserve">Vienkartinės ir kitos laikinosios priemonės, VSDF
</t>
    </r>
    <r>
      <rPr>
        <i/>
        <sz val="11"/>
        <rFont val="Arial"/>
        <family val="2"/>
        <charset val="186"/>
      </rPr>
      <t>One-off and temporary measures, SSIF</t>
    </r>
  </si>
  <si>
    <r>
      <t>1klp</t>
    </r>
    <r>
      <rPr>
        <vertAlign val="subscript"/>
        <sz val="11"/>
        <rFont val="Arial"/>
        <family val="2"/>
        <charset val="186"/>
      </rPr>
      <t>VSDF</t>
    </r>
  </si>
  <si>
    <r>
      <t xml:space="preserve">Vienkartinės ir kitos laikinosios priemonės, PSDF
</t>
    </r>
    <r>
      <rPr>
        <i/>
        <sz val="11"/>
        <rFont val="Arial"/>
        <family val="2"/>
        <charset val="186"/>
      </rPr>
      <t>One-off and temporary measures, NHIF</t>
    </r>
  </si>
  <si>
    <r>
      <t>1klp</t>
    </r>
    <r>
      <rPr>
        <vertAlign val="subscript"/>
        <sz val="11"/>
        <rFont val="Arial"/>
        <family val="2"/>
        <charset val="186"/>
      </rPr>
      <t>PSDF</t>
    </r>
  </si>
  <si>
    <r>
      <t xml:space="preserve">Lankstumo galimybė dėl vykdomų struktūrinių reformų
</t>
    </r>
    <r>
      <rPr>
        <i/>
        <sz val="11"/>
        <rFont val="Arial"/>
        <family val="2"/>
        <charset val="186"/>
      </rPr>
      <t>Structural reform flexibility clause</t>
    </r>
  </si>
  <si>
    <t>SR</t>
  </si>
  <si>
    <r>
      <t xml:space="preserve">Struktūrinis VS balansas, neįtraukiant struktūrinių reformų
</t>
    </r>
    <r>
      <rPr>
        <i/>
        <sz val="11"/>
        <rFont val="Arial"/>
        <family val="2"/>
        <charset val="186"/>
      </rPr>
      <t>Structural GG balance, excluding structural reforms</t>
    </r>
  </si>
  <si>
    <t>SB = B–CB–1klp+SR</t>
  </si>
  <si>
    <r>
      <t xml:space="preserve">Struktūrinis VSDF balansas
</t>
    </r>
    <r>
      <rPr>
        <i/>
        <sz val="11"/>
        <rFont val="Arial"/>
        <family val="2"/>
        <charset val="186"/>
      </rPr>
      <t>Structural SSIF balance</t>
    </r>
  </si>
  <si>
    <t>SBVSDF = VSDF– CBVSDF–1klpVSDF</t>
  </si>
  <si>
    <r>
      <t xml:space="preserve">Struktūrinis PSDF balansas
</t>
    </r>
    <r>
      <rPr>
        <i/>
        <sz val="11"/>
        <rFont val="Arial"/>
        <family val="2"/>
        <charset val="186"/>
      </rPr>
      <t>Structural NHIF balance</t>
    </r>
  </si>
  <si>
    <t>SBPSDF = PSDF– CBPSDF–1klpPSDF</t>
  </si>
  <si>
    <r>
      <t xml:space="preserve">Vidutinio laikotarpio tikslas
</t>
    </r>
    <r>
      <rPr>
        <i/>
        <sz val="11"/>
        <rFont val="Arial"/>
        <family val="2"/>
        <charset val="186"/>
      </rPr>
      <t>Medium-term objective</t>
    </r>
  </si>
  <si>
    <t>VLT</t>
  </si>
  <si>
    <r>
      <t xml:space="preserve">Struktūrinio postūmio užduotis
</t>
    </r>
    <r>
      <rPr>
        <i/>
        <sz val="11"/>
        <rFont val="Arial"/>
        <family val="2"/>
        <charset val="186"/>
      </rPr>
      <t>Structural adjustment target</t>
    </r>
  </si>
  <si>
    <t>SPU</t>
  </si>
  <si>
    <t>Finansų ministerija, VSDF, PSDF</t>
  </si>
  <si>
    <t>Ministry of Finance, SSIF, NHIF</t>
  </si>
  <si>
    <t>Nr.
No.</t>
  </si>
  <si>
    <r>
      <t xml:space="preserve">Sąlyga
</t>
    </r>
    <r>
      <rPr>
        <i/>
        <sz val="11"/>
        <color rgb="FF000000"/>
        <rFont val="Arial"/>
        <family val="2"/>
        <charset val="186"/>
      </rPr>
      <t>Condition</t>
    </r>
  </si>
  <si>
    <r>
      <t xml:space="preserve">Formulė
</t>
    </r>
    <r>
      <rPr>
        <i/>
        <sz val="11"/>
        <color rgb="FF000000"/>
        <rFont val="Arial"/>
        <family val="2"/>
        <charset val="186"/>
      </rPr>
      <t>Formula</t>
    </r>
  </si>
  <si>
    <r>
      <t xml:space="preserve">Išvada
</t>
    </r>
    <r>
      <rPr>
        <i/>
        <sz val="11"/>
        <rFont val="Arial"/>
        <family val="2"/>
        <charset val="186"/>
      </rPr>
      <t>Conclusion</t>
    </r>
  </si>
  <si>
    <t>Institucija, kurios projekcijų pagrindu atliekama analizė
Institution, projections of which are used for the analysis</t>
  </si>
  <si>
    <t>Ar t metai yra išskirtinių aplinkybių metai?</t>
  </si>
  <si>
    <t>VS yra faktiškai perteklinis t metais pagal struktūrinį balansą</t>
  </si>
  <si>
    <t>SB(t) &gt; 0*</t>
  </si>
  <si>
    <t xml:space="preserve">In terms of structural balance GG sector is actually in surplus   </t>
  </si>
  <si>
    <t>Faktinio struktūrinio VS balanso rodiklio absoliučioji vertė yra mažesnė negu VLT absoliučioji vertė ir kiekvienais metais mažėja, išskyrus metus, kai produkcijos atotrūkio nuo potencialo rodiklis yra neigiamas</t>
  </si>
  <si>
    <t>|SB(t)| &lt; |VLT| &amp; 
|SB(t)| &lt; |SB(t–1)| &amp;
AP(t) ≥ 0</t>
  </si>
  <si>
    <t>Actual structural GG sector balance indicator in absolute value is lower than MTO in absolute value and is annually decreasing, with the exception of the  year when the output gap is negative</t>
  </si>
  <si>
    <t>Faktinio struktūrinio VS balanso rodiklio absoliučioji vertė yra mažesnė negu VLT absoliučioji vertė tais metais, kai produkcijos atotrūkio nuo potencialo rodiklis yra neigiamas</t>
  </si>
  <si>
    <t>|SB(t)| &lt; |VLT| &amp;
AP(t) &lt; 0</t>
  </si>
  <si>
    <t>Actual structural GG sector balance indicator in absolute value is lower than the MTO in absolute value in the year when the output gap is negative</t>
  </si>
  <si>
    <t>Faktinio struktūrinio VS balanso rodiklio postūmio VLT link absoliučioji vertė yra ne mažesnė negu struktūrinio postūmio užduoties absoliučioji vertė</t>
  </si>
  <si>
    <t>SPU(t) &gt; 0 &amp;
SB(t) ≥ SB(t–1)+SPU(t)</t>
  </si>
  <si>
    <t>Actual structural GG sector balance indicator adjustment towards the MTO in absolute value is not lower than the structural adjustment target in absolute value.</t>
  </si>
  <si>
    <t>S</t>
  </si>
  <si>
    <t xml:space="preserve">At year t, with the exception of the year of exceptional circumstances, at least one of the S1–S4 conditions is satisfied </t>
  </si>
  <si>
    <t>* nelygybės ženklas yra griežtas, jei skirtumas tarp lyginamų pusių po apvalinimo sudaro bent 0,1, kitaip ženklas interpretuojamas kaip =</t>
  </si>
  <si>
    <t>* inequality sign is strict, if a difference between both compared sides after rounding is at least 0,1, else the sign is interpreted as =</t>
  </si>
  <si>
    <t>Šaltinis: KĮ 3 straipsnis 1 dalis</t>
  </si>
  <si>
    <t>Source: CL Article 3(1)</t>
  </si>
  <si>
    <t>t =</t>
  </si>
  <si>
    <t>SB(t) =</t>
  </si>
  <si>
    <t>SB(t–1) =</t>
  </si>
  <si>
    <t>VLT =</t>
  </si>
  <si>
    <t>AP(t) =</t>
  </si>
  <si>
    <t>SPU(t) =</t>
  </si>
  <si>
    <t>S1</t>
  </si>
  <si>
    <t>C1</t>
  </si>
  <si>
    <t>S2</t>
  </si>
  <si>
    <t>C2</t>
  </si>
  <si>
    <t>S3</t>
  </si>
  <si>
    <t>C3</t>
  </si>
  <si>
    <t>S4</t>
  </si>
  <si>
    <t>C4</t>
  </si>
  <si>
    <r>
      <t xml:space="preserve">Nr.
</t>
    </r>
    <r>
      <rPr>
        <i/>
        <sz val="11"/>
        <color rgb="FF000000"/>
        <rFont val="Arial"/>
        <family val="2"/>
        <charset val="186"/>
      </rPr>
      <t>No.</t>
    </r>
  </si>
  <si>
    <r>
      <t xml:space="preserve">VS išlaidų augimo ribojimo taisyklės netaikymo aplinkybės
</t>
    </r>
    <r>
      <rPr>
        <i/>
        <sz val="11"/>
        <color rgb="FF000000"/>
        <rFont val="Arial"/>
        <family val="2"/>
        <charset val="186"/>
      </rPr>
      <t>GG expenditure growh limiting rule application escape clause</t>
    </r>
    <r>
      <rPr>
        <sz val="11"/>
        <color rgb="FF000000"/>
        <rFont val="Arial"/>
        <family val="2"/>
        <charset val="186"/>
      </rPr>
      <t>s</t>
    </r>
  </si>
  <si>
    <t>Pagal 4 paskutinius metų ketvirčius apskaičiuotas Lietuvos BVP to meto kainomis augimas yra mažesnis negu daugiametis ES BVP to meto kainomis augimas, padidintas 2 procentiniais punktais</t>
  </si>
  <si>
    <t>Lithuanian GDP at current prices calculated on the basis of 4 last quarters of the year grows at a slower pace than the multi-annual growth of the GDP of the EU at current prices increased by 2 percentage points</t>
  </si>
  <si>
    <t>Numatomas VS balanso rodiklio postūmis yra teigiamas ir sudaro bent 1,0 procentinį punktą BVP</t>
  </si>
  <si>
    <t>Projected GG sector balance indicator adjustment is positive and makes up at least 1.0 percentage point of GDP</t>
  </si>
  <si>
    <t>Ne mažiau kaip penkerių iš eilės einančių metų VS balanso rodiklio aritmetinis vidurkis yra perteklius, ne mažesnis negu 0,1 procento BVP</t>
  </si>
  <si>
    <t>The arithmetic average of GG sector balance indicator of at least five successive years is in surplus, at least 0.1 % of GDP</t>
  </si>
  <si>
    <t>Keičiant einamųjų metų bet kurio iš VS priskiriamų biudžetų, kurių kiekvieno atskirai planuojami asignavimai viršija 3 procentus BVP to meto kainomis, pajamas ar išlaidas, pakeistas VS balansas nepablogės, palyginti su buvusiu prieš keitimą</t>
  </si>
  <si>
    <t>If planned current year GG sector budgets, the planned appropriations of each of which exceed 3 % of GDP at current prices, are subject to amendment,  the adjusted aggregate balances of the GG budgets is not worse than the one before the amendment</t>
  </si>
  <si>
    <t>Pagal Vyriausybės arba jos įgaliotos institucijos viešai paskelbtą ekonominės raidos scenarijų, dėl kurio tvirtinimo kontrolės institucija paskelbė išvadą, apskaičiuotas produkcijos atotrūkis nuo potencialo planuojamais metais yra neigiamas</t>
  </si>
  <si>
    <t>AP(t) &lt; 0</t>
  </si>
  <si>
    <t>The output gap for the planned year calculated on the basis of the economic development scenario, which is made public by the Government or its authorised institution and in regard to which the monitoring authority published its conclusion, is negative</t>
  </si>
  <si>
    <t>A</t>
  </si>
  <si>
    <t>at year t the GG expenditure growth limiting rule is not applied when at least one of the  A1–A5 escape clauses emerges</t>
  </si>
  <si>
    <t xml:space="preserve">Metais t rengiant, tvirtinant ir keičiant VS priskiriamų biudžetų, kurių kiekvieno atskirai planuojami asignavimai viršija 3 proc. BVP to meto kainomis (CV, VSDF ir PSDF išlaidos), patvirtinimo įstatymų arba šių įstatymų pakeitimo įstatymų projektus, vadovaujamasi nuostata, kad tuo atveju, kai paskutinių penkerių pasibaigusių metų VS balanso rodiklių aritmetinis vidurkis yra neigiamas, šių biudžetų asignavimų (išskyrus ES finansinės paramos lėšas) visumos augimas turi būti ne didesnis negu 0,5 potencialaus BVP to meto kainomis daugiamečio augimo vidurkio
</t>
  </si>
  <si>
    <t>Jei / If</t>
  </si>
  <si>
    <t>At year t the preparation, approval and amendment of draft laws or their draft amending laws on approval of the budgets attributable to the GG sector the planned appropriations of each of which exceed 3 % of GDP (central government and social security funds' expenditure) at current prices shall rely on the provision that, in case where arithmetic average of GG sector balance indicators of the past five complete years is negative, the aggregate growth of the appropriations of these budgets (net of EU financial support) is not higher than 0.5 % of the average multi-annual growth rate of the potential GDP at current prices</t>
  </si>
  <si>
    <t>* nelygybės ženklas yra griežtas, jei skirtumas tarp lyginamų pusių po apvalinimo sudaro bent 0,1, kitaip ženklas interpretuojamas kaip =
** einamaisiais metais keičiamas VS balansas</t>
  </si>
  <si>
    <t>Šaltinis: KĮ 3 straipsnis 3 dalis</t>
  </si>
  <si>
    <t>Source: CL Article 3(3)</t>
  </si>
  <si>
    <t>AV3(t) =</t>
  </si>
  <si>
    <t>AV3(t–1) =</t>
  </si>
  <si>
    <t>ES(t) =</t>
  </si>
  <si>
    <t>ES(t–1) =</t>
  </si>
  <si>
    <t>VI(t) =</t>
  </si>
  <si>
    <t>VI(t–1) =</t>
  </si>
  <si>
    <t>B(t–1)–B(t–2) =</t>
  </si>
  <si>
    <t>BP(t–1)–BP(t–2) =</t>
  </si>
  <si>
    <t>P1(t)/P1(t–1) =</t>
  </si>
  <si>
    <t>P2(t)/P2(t–1) =</t>
  </si>
  <si>
    <t>P3(t)/P3(t–1) =</t>
  </si>
  <si>
    <t>P4(t)/P4(t–1) =</t>
  </si>
  <si>
    <t>ΔYN(t–1) =</t>
  </si>
  <si>
    <t>AP(t)  =</t>
  </si>
  <si>
    <t>AV3(t)–ES(t)=</t>
  </si>
  <si>
    <t>AV3(t–1)–ES(t–1)=</t>
  </si>
  <si>
    <t>(AV3(t)-ES(t))/(AV3(t-1)-ES(t-1))=</t>
  </si>
  <si>
    <r>
      <t>Y</t>
    </r>
    <r>
      <rPr>
        <vertAlign val="subscript"/>
        <sz val="11"/>
        <color rgb="FF000000"/>
        <rFont val="Arial"/>
        <family val="2"/>
        <charset val="186"/>
      </rPr>
      <t>np10t</t>
    </r>
  </si>
  <si>
    <t>Europos Komisija</t>
  </si>
  <si>
    <t>EK</t>
  </si>
  <si>
    <t>European Commission</t>
  </si>
  <si>
    <t>A1</t>
  </si>
  <si>
    <t>A2</t>
  </si>
  <si>
    <t>A3</t>
  </si>
  <si>
    <t>A4</t>
  </si>
  <si>
    <t>A5</t>
  </si>
  <si>
    <r>
      <t>SB</t>
    </r>
    <r>
      <rPr>
        <vertAlign val="subscript"/>
        <sz val="11"/>
        <rFont val="Arial"/>
        <family val="2"/>
        <charset val="186"/>
      </rPr>
      <t>PSDF</t>
    </r>
    <r>
      <rPr>
        <sz val="11"/>
        <rFont val="Arial"/>
        <family val="2"/>
        <charset val="186"/>
      </rPr>
      <t>(t) ≥ 0</t>
    </r>
  </si>
  <si>
    <t>From 1 January 2018 PSDF budget must be planned, approved, amended and implemented to be in surplus or balanced when judged by its structural balance indicator calculated on accrual basis</t>
  </si>
  <si>
    <t xml:space="preserve">Taisyklė PSDF struktūriniam biudžetui
</t>
  </si>
  <si>
    <t>Rule for PSDF structural budget</t>
  </si>
  <si>
    <t>Nuo 2016 m. sausio 1 d. Lietuvos Respublikos atitinkamų metų VSDF biudžetas planuojamas, tvirtinamas, keičiamas ir vykdomas taip, kad jo struktūrinis deficitas, apskaičiuotas kaupiamuoju principu, galėtų didėti t metais, kuriems pagal Vyriausybės arba jos įgaliotos institucijos viešai paskelbtą ekonominės raidos scenarijų, dėl kurio tvirtinimo kontrolės institucija paskelbė savo išvadą, numatomas neigiamas produkcijos atotrūkis nuo potencialo</t>
  </si>
  <si>
    <t>AP(t) &lt; 0</t>
  </si>
  <si>
    <t>From 1 January 2016 budget of the VSDF of the Republic of Lithuania for a year t shall be planned, approved, amended and implemented in such a way that its structural deficit calculated on accrual basis could increase only in the year when a negative output gap is projected according to the economic development scenario which is made public by the Government of the Republic of Lithuania or its authorised institutions and in regard of which the monitoring authority published its conclusion</t>
  </si>
  <si>
    <r>
      <t>AP(t) ≥ 0 &amp;
(SB</t>
    </r>
    <r>
      <rPr>
        <vertAlign val="subscript"/>
        <sz val="11"/>
        <color rgb="FF000000"/>
        <rFont val="Arial"/>
        <family val="2"/>
        <charset val="186"/>
      </rPr>
      <t>VSDF</t>
    </r>
    <r>
      <rPr>
        <sz val="11"/>
        <color rgb="FF000000"/>
        <rFont val="Arial"/>
        <family val="2"/>
        <charset val="186"/>
      </rPr>
      <t>(t) ≥ SB</t>
    </r>
    <r>
      <rPr>
        <vertAlign val="subscript"/>
        <sz val="11"/>
        <color rgb="FF000000"/>
        <rFont val="Arial"/>
        <family val="2"/>
        <charset val="186"/>
      </rPr>
      <t>VSDF</t>
    </r>
    <r>
      <rPr>
        <sz val="11"/>
        <color rgb="FF000000"/>
        <rFont val="Arial"/>
        <family val="2"/>
        <charset val="186"/>
      </rPr>
      <t>(t–1) arba / or
 SB</t>
    </r>
    <r>
      <rPr>
        <vertAlign val="subscript"/>
        <sz val="11"/>
        <color rgb="FF000000"/>
        <rFont val="Arial"/>
        <family val="2"/>
        <charset val="186"/>
      </rPr>
      <t>VSDF</t>
    </r>
    <r>
      <rPr>
        <sz val="11"/>
        <color rgb="FF000000"/>
        <rFont val="Arial"/>
        <family val="2"/>
        <charset val="186"/>
      </rPr>
      <t>(t) ≥ 0)</t>
    </r>
  </si>
  <si>
    <t>Rule for VSDF structural budget</t>
  </si>
  <si>
    <t>Šaltinis: KĮ 4 straipsnis</t>
  </si>
  <si>
    <t>Source: CL Article 4</t>
  </si>
  <si>
    <r>
      <t>SB</t>
    </r>
    <r>
      <rPr>
        <vertAlign val="subscript"/>
        <sz val="11"/>
        <color rgb="FF000000"/>
        <rFont val="Arial"/>
        <family val="2"/>
        <charset val="186"/>
      </rPr>
      <t>VSDF</t>
    </r>
    <r>
      <rPr>
        <sz val="11"/>
        <color rgb="FF000000"/>
        <rFont val="Arial"/>
        <family val="2"/>
        <charset val="186"/>
      </rPr>
      <t>(t) =</t>
    </r>
  </si>
  <si>
    <r>
      <t>SB</t>
    </r>
    <r>
      <rPr>
        <vertAlign val="subscript"/>
        <sz val="11"/>
        <color rgb="FF000000"/>
        <rFont val="Arial"/>
        <family val="2"/>
        <charset val="186"/>
      </rPr>
      <t>VSDF</t>
    </r>
    <r>
      <rPr>
        <sz val="11"/>
        <color rgb="FF000000"/>
        <rFont val="Arial"/>
        <family val="2"/>
        <charset val="186"/>
      </rPr>
      <t>(t–1) =</t>
    </r>
  </si>
  <si>
    <r>
      <t>SB</t>
    </r>
    <r>
      <rPr>
        <vertAlign val="subscript"/>
        <sz val="11"/>
        <color rgb="FF000000"/>
        <rFont val="Arial"/>
        <family val="2"/>
        <charset val="186"/>
      </rPr>
      <t>PSDF</t>
    </r>
    <r>
      <rPr>
        <sz val="11"/>
        <color rgb="FF000000"/>
        <rFont val="Arial"/>
        <family val="2"/>
        <charset val="186"/>
      </rPr>
      <t>(t) =</t>
    </r>
  </si>
  <si>
    <t>Source:</t>
  </si>
  <si>
    <t>Nuo 2018 m. sausio 1 d. PSDF biudžetas turi būti planuojamas, tvirtinamas, keičiamas ir vykdomas taip, kad, sprendžiant pagal to biudžeto struktūrinį balanso rodiklį, apskaičiuotą kaupiamuoju principu, jis būtų perteklinis arba subalansuotas</t>
  </si>
  <si>
    <t>t−7</t>
  </si>
  <si>
    <t>t−6</t>
  </si>
  <si>
    <t>t−5</t>
  </si>
  <si>
    <t>t−4</t>
  </si>
  <si>
    <t>t−3</t>
  </si>
  <si>
    <t>* inequality sign is strict, if a difference between both compared sides after rounding is at least 0.1,  else the sign is interpreted as =
** the adjusted aggregate balances of the GG budgets</t>
  </si>
  <si>
    <t>B3(t) ≥ B3**(t)</t>
  </si>
  <si>
    <t>B3**(t) =</t>
  </si>
  <si>
    <t>B3(t) =</t>
  </si>
  <si>
    <t>B(t) − B(t–1) ≥ 1</t>
  </si>
  <si>
    <r>
      <t>SUVESTINĖ /</t>
    </r>
    <r>
      <rPr>
        <i/>
        <sz val="12"/>
        <color theme="7" tint="-0.499984740745262"/>
        <rFont val="Arial"/>
        <family val="2"/>
        <charset val="186"/>
      </rPr>
      <t xml:space="preserve"> </t>
    </r>
    <r>
      <rPr>
        <sz val="12"/>
        <color theme="7" tint="-0.499984740745262"/>
        <rFont val="Arial"/>
        <family val="2"/>
        <charset val="186"/>
      </rPr>
      <t>SUMMARY</t>
    </r>
  </si>
  <si>
    <r>
      <t>t metais, išskyrus metus, kuriais susidaro išskirtinės aplinkybės, turi būti tenkinama bent viena iš  S</t>
    </r>
    <r>
      <rPr>
        <b/>
        <vertAlign val="subscript"/>
        <sz val="11"/>
        <color theme="7" tint="-0.499984740745262"/>
        <rFont val="Arial"/>
        <family val="2"/>
        <charset val="186"/>
      </rPr>
      <t>1</t>
    </r>
    <r>
      <rPr>
        <b/>
        <sz val="11"/>
        <color theme="7" tint="-0.499984740745262"/>
        <rFont val="Arial"/>
        <family val="2"/>
        <charset val="186"/>
      </rPr>
      <t>–S</t>
    </r>
    <r>
      <rPr>
        <b/>
        <vertAlign val="subscript"/>
        <sz val="11"/>
        <color theme="7" tint="-0.499984740745262"/>
        <rFont val="Arial"/>
        <family val="2"/>
        <charset val="186"/>
      </rPr>
      <t xml:space="preserve">4 </t>
    </r>
    <r>
      <rPr>
        <b/>
        <sz val="11"/>
        <color theme="7" tint="-0.499984740745262"/>
        <rFont val="Arial"/>
        <family val="2"/>
        <charset val="186"/>
      </rPr>
      <t xml:space="preserve">sąlygų </t>
    </r>
  </si>
  <si>
    <r>
      <t xml:space="preserve">Nr.
</t>
    </r>
    <r>
      <rPr>
        <i/>
        <sz val="11"/>
        <color theme="7" tint="-0.499984740745262"/>
        <rFont val="Arial"/>
        <family val="2"/>
        <charset val="186"/>
      </rPr>
      <t>No.</t>
    </r>
  </si>
  <si>
    <r>
      <t xml:space="preserve">Taisyklė
</t>
    </r>
    <r>
      <rPr>
        <i/>
        <sz val="11"/>
        <color theme="7" tint="-0.499984740745262"/>
        <rFont val="Arial"/>
        <family val="2"/>
        <charset val="186"/>
      </rPr>
      <t>Rule</t>
    </r>
  </si>
  <si>
    <r>
      <t xml:space="preserve">Formulė 
</t>
    </r>
    <r>
      <rPr>
        <i/>
        <sz val="11"/>
        <color theme="7" tint="-0.499984740745262"/>
        <rFont val="Arial"/>
        <family val="2"/>
        <charset val="186"/>
      </rPr>
      <t>Formula</t>
    </r>
  </si>
  <si>
    <r>
      <t xml:space="preserve">Išvada
</t>
    </r>
    <r>
      <rPr>
        <i/>
        <sz val="11"/>
        <color theme="7" tint="-0.499984740745262"/>
        <rFont val="Arial"/>
        <family val="2"/>
        <charset val="186"/>
      </rPr>
      <t>Conclusion</t>
    </r>
  </si>
  <si>
    <r>
      <t>t metais, VS išlaidų augimo ribojimo taisyklė netaikoma, kai susidaro bent viena iš A</t>
    </r>
    <r>
      <rPr>
        <b/>
        <vertAlign val="subscript"/>
        <sz val="11"/>
        <color theme="7" tint="-0.499984740745262"/>
        <rFont val="Arial"/>
        <family val="2"/>
        <charset val="186"/>
      </rPr>
      <t>1</t>
    </r>
    <r>
      <rPr>
        <b/>
        <sz val="11"/>
        <color theme="7" tint="-0.499984740745262"/>
        <rFont val="Arial"/>
        <family val="2"/>
        <charset val="186"/>
      </rPr>
      <t>–A</t>
    </r>
    <r>
      <rPr>
        <b/>
        <vertAlign val="subscript"/>
        <sz val="11"/>
        <color theme="7" tint="-0.499984740745262"/>
        <rFont val="Arial"/>
        <family val="2"/>
        <charset val="186"/>
      </rPr>
      <t>5</t>
    </r>
    <r>
      <rPr>
        <b/>
        <sz val="11"/>
        <color theme="7" tint="-0.499984740745262"/>
        <rFont val="Arial"/>
        <family val="2"/>
        <charset val="186"/>
      </rPr>
      <t xml:space="preserve"> aplinkybių
</t>
    </r>
  </si>
  <si>
    <r>
      <t>T</t>
    </r>
    <r>
      <rPr>
        <vertAlign val="subscript"/>
        <sz val="11"/>
        <color theme="7" tint="-0.499984740745262"/>
        <rFont val="Arial"/>
        <family val="2"/>
        <charset val="186"/>
      </rPr>
      <t>32</t>
    </r>
  </si>
  <si>
    <r>
      <t>T</t>
    </r>
    <r>
      <rPr>
        <vertAlign val="subscript"/>
        <sz val="11"/>
        <color theme="7" tint="-0.499984740745262"/>
        <rFont val="Arial"/>
        <family val="2"/>
        <charset val="186"/>
      </rPr>
      <t>4</t>
    </r>
  </si>
  <si>
    <r>
      <t xml:space="preserve">Nr.
</t>
    </r>
    <r>
      <rPr>
        <i/>
        <sz val="11"/>
        <color rgb="FF000000"/>
        <rFont val="Arial"/>
        <family val="2"/>
      </rPr>
      <t>No.</t>
    </r>
  </si>
  <si>
    <r>
      <t xml:space="preserve">Taisyklė
</t>
    </r>
    <r>
      <rPr>
        <i/>
        <sz val="11"/>
        <color rgb="FF000000"/>
        <rFont val="Arial"/>
        <family val="2"/>
      </rPr>
      <t>Rule</t>
    </r>
  </si>
  <si>
    <r>
      <t xml:space="preserve">Formulė
</t>
    </r>
    <r>
      <rPr>
        <i/>
        <sz val="11"/>
        <color rgb="FF000000"/>
        <rFont val="Arial"/>
        <family val="2"/>
      </rPr>
      <t>Formula</t>
    </r>
  </si>
  <si>
    <r>
      <t xml:space="preserve">Išvada
</t>
    </r>
    <r>
      <rPr>
        <i/>
        <sz val="11"/>
        <rFont val="Arial"/>
        <family val="2"/>
      </rPr>
      <t>Conclusion</t>
    </r>
  </si>
  <si>
    <r>
      <rPr>
        <sz val="11"/>
        <color theme="7" tint="-0.499984740745262"/>
        <rFont val="Arial"/>
        <family val="2"/>
        <charset val="186"/>
      </rPr>
      <t>A</t>
    </r>
    <r>
      <rPr>
        <vertAlign val="subscript"/>
        <sz val="11"/>
        <color theme="7" tint="-0.499984740745262"/>
        <rFont val="Arial"/>
        <family val="2"/>
        <charset val="186"/>
      </rPr>
      <t>1</t>
    </r>
  </si>
  <si>
    <r>
      <rPr>
        <sz val="11"/>
        <color theme="7" tint="-0.499984740745262"/>
        <rFont val="Arial"/>
        <family val="2"/>
        <charset val="186"/>
      </rPr>
      <t>A</t>
    </r>
    <r>
      <rPr>
        <vertAlign val="subscript"/>
        <sz val="11"/>
        <color theme="7" tint="-0.499984740745262"/>
        <rFont val="Arial"/>
        <family val="2"/>
        <charset val="186"/>
      </rPr>
      <t>2</t>
    </r>
  </si>
  <si>
    <r>
      <rPr>
        <sz val="11"/>
        <color theme="7" tint="-0.499984740745262"/>
        <rFont val="Arial"/>
        <family val="2"/>
        <charset val="186"/>
      </rPr>
      <t>A</t>
    </r>
    <r>
      <rPr>
        <vertAlign val="subscript"/>
        <sz val="11"/>
        <color theme="7" tint="-0.499984740745262"/>
        <rFont val="Arial"/>
        <family val="2"/>
        <charset val="186"/>
      </rPr>
      <t>3</t>
    </r>
  </si>
  <si>
    <r>
      <rPr>
        <sz val="11"/>
        <color theme="7" tint="-0.499984740745262"/>
        <rFont val="Arial"/>
        <family val="2"/>
        <charset val="186"/>
      </rPr>
      <t>A</t>
    </r>
    <r>
      <rPr>
        <vertAlign val="subscript"/>
        <sz val="11"/>
        <color theme="7" tint="-0.499984740745262"/>
        <rFont val="Arial"/>
        <family val="2"/>
        <charset val="186"/>
      </rPr>
      <t>4</t>
    </r>
  </si>
  <si>
    <r>
      <rPr>
        <sz val="11"/>
        <color theme="7" tint="-0.499984740745262"/>
        <rFont val="Arial"/>
        <family val="2"/>
        <charset val="186"/>
      </rPr>
      <t>A</t>
    </r>
    <r>
      <rPr>
        <vertAlign val="subscript"/>
        <sz val="11"/>
        <color theme="7" tint="-0.499984740745262"/>
        <rFont val="Arial"/>
        <family val="2"/>
        <charset val="186"/>
      </rPr>
      <t>5</t>
    </r>
  </si>
  <si>
    <r>
      <t>T</t>
    </r>
    <r>
      <rPr>
        <vertAlign val="subscript"/>
        <sz val="11"/>
        <color theme="7" tint="-0.499984740745262"/>
        <rFont val="Arial"/>
        <family val="2"/>
        <charset val="186"/>
      </rPr>
      <t>1</t>
    </r>
  </si>
  <si>
    <r>
      <t>S</t>
    </r>
    <r>
      <rPr>
        <vertAlign val="subscript"/>
        <sz val="11"/>
        <color theme="7" tint="-0.499984740745262"/>
        <rFont val="Arial"/>
        <family val="2"/>
        <charset val="186"/>
      </rPr>
      <t>1</t>
    </r>
  </si>
  <si>
    <r>
      <t>S</t>
    </r>
    <r>
      <rPr>
        <vertAlign val="subscript"/>
        <sz val="11"/>
        <color theme="7" tint="-0.499984740745262"/>
        <rFont val="Arial"/>
        <family val="2"/>
        <charset val="186"/>
      </rPr>
      <t>2</t>
    </r>
    <r>
      <rPr>
        <sz val="11"/>
        <color theme="1"/>
        <rFont val="Calibri"/>
        <family val="2"/>
        <charset val="186"/>
        <scheme val="minor"/>
      </rPr>
      <t/>
    </r>
  </si>
  <si>
    <r>
      <t>S</t>
    </r>
    <r>
      <rPr>
        <vertAlign val="subscript"/>
        <sz val="11"/>
        <color theme="7" tint="-0.499984740745262"/>
        <rFont val="Arial"/>
        <family val="2"/>
        <charset val="186"/>
      </rPr>
      <t>3</t>
    </r>
    <r>
      <rPr>
        <sz val="11"/>
        <color theme="1"/>
        <rFont val="Calibri"/>
        <family val="2"/>
        <charset val="186"/>
        <scheme val="minor"/>
      </rPr>
      <t/>
    </r>
  </si>
  <si>
    <r>
      <t>S</t>
    </r>
    <r>
      <rPr>
        <vertAlign val="subscript"/>
        <sz val="11"/>
        <color theme="7" tint="-0.499984740745262"/>
        <rFont val="Arial"/>
        <family val="2"/>
        <charset val="186"/>
      </rPr>
      <t>4</t>
    </r>
    <r>
      <rPr>
        <sz val="11"/>
        <color theme="1"/>
        <rFont val="Calibri"/>
        <family val="2"/>
        <charset val="186"/>
        <scheme val="minor"/>
      </rPr>
      <t/>
    </r>
  </si>
  <si>
    <r>
      <t xml:space="preserve">1. Fiskalinės drausmės taisyklių laikymosi suvestinė 2024 m.
</t>
    </r>
    <r>
      <rPr>
        <b/>
        <i/>
        <sz val="11"/>
        <color theme="7" tint="-0.499984740745262"/>
        <rFont val="Arial"/>
        <family val="2"/>
        <charset val="186"/>
      </rPr>
      <t>Summary of the fulfilment of the fiscal discipline rules in year 2024</t>
    </r>
  </si>
  <si>
    <r>
      <t xml:space="preserve">7. Istorinis taisyklių laikymasis
</t>
    </r>
    <r>
      <rPr>
        <b/>
        <i/>
        <sz val="11"/>
        <color theme="7" tint="-0.499984740745262"/>
        <rFont val="Arial"/>
        <family val="2"/>
        <charset val="186"/>
      </rPr>
      <t>Historical adherence to fiscal rules</t>
    </r>
    <r>
      <rPr>
        <b/>
        <sz val="11"/>
        <color theme="7" tint="-0.499984740745262"/>
        <rFont val="Arial"/>
        <family val="2"/>
        <charset val="186"/>
      </rPr>
      <t xml:space="preserve">
</t>
    </r>
  </si>
  <si>
    <r>
      <t xml:space="preserve">Taisyklė
</t>
    </r>
    <r>
      <rPr>
        <i/>
        <sz val="11"/>
        <color rgb="FF000000"/>
        <rFont val="Arial"/>
        <family val="2"/>
        <charset val="186"/>
      </rPr>
      <t>Rule</t>
    </r>
  </si>
  <si>
    <r>
      <t xml:space="preserve">Institucija
</t>
    </r>
    <r>
      <rPr>
        <i/>
        <sz val="10"/>
        <color rgb="FF000000"/>
        <rFont val="Arial"/>
        <family val="2"/>
        <charset val="186"/>
      </rPr>
      <t>Institution</t>
    </r>
  </si>
  <si>
    <t>ex-ante</t>
  </si>
  <si>
    <t>ex-post</t>
  </si>
  <si>
    <t>interim</t>
  </si>
  <si>
    <t xml:space="preserve">interim </t>
  </si>
  <si>
    <t xml:space="preserve">ex-post </t>
  </si>
  <si>
    <t xml:space="preserve">ex-ante </t>
  </si>
  <si>
    <t>Vertinimo data
Date of asessment</t>
  </si>
  <si>
    <t>Atotrūkis nuo potencialo, proc. pot. BVP</t>
  </si>
  <si>
    <t>Output gap (OG), % pot. GDP</t>
  </si>
  <si>
    <t>Perteklinio VS taisyklė</t>
  </si>
  <si>
    <t>–</t>
  </si>
  <si>
    <t>Surplus GG sector rule</t>
  </si>
  <si>
    <t>VS išlaidų augimo ribojimo taisyklė</t>
  </si>
  <si>
    <t>GG expenditure growth limiting rule</t>
  </si>
  <si>
    <t>taisyklės laikėsi</t>
  </si>
  <si>
    <t>the rule was adhered to</t>
  </si>
  <si>
    <t>taisyklės nesilaikė</t>
  </si>
  <si>
    <t>the rule was not adhered to</t>
  </si>
  <si>
    <t>taisyklė netaikoma</t>
  </si>
  <si>
    <t>the rule was not applicable</t>
  </si>
  <si>
    <t>nevertinama</t>
  </si>
  <si>
    <t>the rule is not assessed</t>
  </si>
  <si>
    <r>
      <rPr>
        <sz val="11"/>
        <rFont val="Arial"/>
        <family val="2"/>
        <charset val="186"/>
      </rPr>
      <t xml:space="preserve">Projekcijos </t>
    </r>
    <r>
      <rPr>
        <i/>
        <sz val="11"/>
        <rFont val="Arial"/>
        <family val="2"/>
        <charset val="186"/>
      </rPr>
      <t xml:space="preserve">/ </t>
    </r>
    <r>
      <rPr>
        <sz val="11"/>
        <rFont val="Arial"/>
        <family val="2"/>
        <charset val="186"/>
      </rPr>
      <t>Projections</t>
    </r>
  </si>
  <si>
    <t>3. ISTORINIS TAISYKLIŲ LAIKYMASIS / HISTORICAL ADHERENCE TO RULES</t>
  </si>
  <si>
    <t>7. Istorinis taisyklių laikymasis / Historical adherence to fiscal rules</t>
  </si>
  <si>
    <t>Europos Komisija, Eurostatas, Valstybės duomenų agentūra</t>
  </si>
  <si>
    <t xml:space="preserve">EDS – the Economic Development Scenario </t>
  </si>
  <si>
    <t>European Commission, Eurostat, State Data Agency</t>
  </si>
  <si>
    <t>National Audit Office of Lithuania, implementing the functions of the fiscal institution</t>
  </si>
  <si>
    <t>EC projections for autumn 2023</t>
  </si>
  <si>
    <t xml:space="preserve"> </t>
  </si>
  <si>
    <r>
      <t xml:space="preserve">Fiskalinės sutarties įgyvendinimo konstituciniame įstatyme Nr. XII-1289 (toliau − KĮ) nustatytų fiskalinės drausmės taisyklių skaičiuoklė skirta skaidriai parodyti fiskalinės drausmės taisykles, pagal kurias priimami sprendimai. 1 dalis pateikia skaičiavimams reikalingų duomenų įvestis ir nurodo šių duomenų šaltinius. 2 dalyje nagrinėjamos trys taisyklių grupės: perteklinio valdžios sektoriaus (toliau − VS) taisyklė; VS išlaidų augimo ribojimo taisyklė ir VS priskiriamų biudžetų taisyklės.
</t>
    </r>
    <r>
      <rPr>
        <i/>
        <sz val="11"/>
        <rFont val="Arial"/>
        <family val="2"/>
        <charset val="186"/>
      </rPr>
      <t xml:space="preserve">Constitutional Law on the Implementation of the Fiscal Treaty Nr. XII-1289 (hereinafter − CL) defines fiscal discipline rules. The aim of this spreadsheet is to show the fiscal discipline rules, which are used for making decisions in a transparent way.  Part 1 provides required input data with their appropriate sources. In part 2 three groups of the fiscal rules are validated: general government (hereinafter − GG) surplus rule; GG sector expenditure growth limiting rule and rules for the budgets attributable to GG.   </t>
    </r>
  </si>
  <si>
    <t>EDS data for summer 2024</t>
  </si>
  <si>
    <t>EDS data for autumn 2024</t>
  </si>
  <si>
    <t>2024 m. pavasario EK projekcijos</t>
  </si>
  <si>
    <t>EC projections for spring 2024</t>
  </si>
  <si>
    <t>2023Q3-2024Q2</t>
  </si>
  <si>
    <r>
      <t xml:space="preserve">4. Perteklinio VS taisyklės sąlygos
</t>
    </r>
    <r>
      <rPr>
        <b/>
        <i/>
        <sz val="11"/>
        <color theme="7" tint="-0.499984740745262"/>
        <rFont val="Arial"/>
        <family val="2"/>
        <charset val="186"/>
      </rPr>
      <t>Conditions of the surplus GG sector rule</t>
    </r>
  </si>
  <si>
    <r>
      <t xml:space="preserve">5. VS išlaidų augimo ribojimo taisyklė
</t>
    </r>
    <r>
      <rPr>
        <b/>
        <i/>
        <sz val="11"/>
        <color theme="7" tint="-0.499984740745262"/>
        <rFont val="Arial"/>
        <family val="2"/>
        <charset val="186"/>
      </rPr>
      <t>GG expenditure growth limiting rule</t>
    </r>
  </si>
  <si>
    <r>
      <t xml:space="preserve">6. VS priskiriamų biudžetų taisyklės
</t>
    </r>
    <r>
      <rPr>
        <b/>
        <i/>
        <sz val="11"/>
        <color theme="7" tint="-0.499984740745262"/>
        <rFont val="Arial"/>
        <family val="2"/>
        <charset val="186"/>
      </rPr>
      <t>Rules for the budgets attributable to GG sector</t>
    </r>
  </si>
  <si>
    <t>2024-10-25</t>
  </si>
  <si>
    <t>t+3</t>
  </si>
  <si>
    <t>2025 pavasario ERS duomenys</t>
  </si>
  <si>
    <t>EDS data for spring 2025                    Ministry of Finance (FM)</t>
  </si>
  <si>
    <t>t+4</t>
  </si>
  <si>
    <t>2025 m. pavasario ERS</t>
  </si>
  <si>
    <t>2024 m. žiemos ERS</t>
  </si>
  <si>
    <t>2024 m. rudens EK projekcijos</t>
  </si>
  <si>
    <t>2024K1-2024K4</t>
  </si>
  <si>
    <r>
      <t xml:space="preserve">BVP defliatorius, 2021 = 100
</t>
    </r>
    <r>
      <rPr>
        <i/>
        <sz val="11"/>
        <color rgb="FF000000"/>
        <rFont val="Arial"/>
        <family val="2"/>
        <charset val="186"/>
      </rPr>
      <t>GDP deflator, 2021 = 100</t>
    </r>
  </si>
  <si>
    <t xml:space="preserve">   </t>
  </si>
  <si>
    <t>2025-06-03 BPE–2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</si>
</sst>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0.0;\ \–0.0"/>
    <numFmt numFmtId="165" formatCode="yyyy\-mm\-dd;@"/>
    <numFmt numFmtId="166" formatCode="0.0"/>
    <numFmt numFmtId="167" formatCode="0.00;\ \–0.00"/>
    <numFmt numFmtId="168" formatCode="0.000;\ \–0.000"/>
    <numFmt numFmtId="169" formatCode="0.000"/>
    <numFmt numFmtId="170" formatCode="#,##0.0"/>
    <numFmt numFmtId="171" formatCode="0\,0;\–0\,0"/>
    <numFmt numFmtId="172" formatCode="0.00000"/>
    <numFmt numFmtId="173" formatCode="0.0;\–0.0"/>
    <numFmt numFmtId="174" formatCode="0;\ \–0"/>
    <numFmt numFmtId="175" formatCode="#,##0.##########"/>
  </numFmts>
  <fonts count="66">
    <font>
      <sz val="11"/>
      <color theme="1"/>
      <name val="Calibri"/>
      <family val="2"/>
      <charset val="186"/>
      <scheme val="minor"/>
    </font>
    <font>
      <sz val="11"/>
      <color theme="1"/>
      <name val="Arial"/>
      <family val="2"/>
      <charset val="186"/>
    </font>
    <font>
      <sz val="11"/>
      <color theme="1"/>
      <name val="Calibri"/>
      <family val="2"/>
      <charset val="186"/>
      <scheme val="minor"/>
    </font>
    <font>
      <u/>
      <sz val="11"/>
      <color theme="10"/>
      <name val="Calibri"/>
      <family val="2"/>
      <charset val="186"/>
      <scheme val="minor"/>
    </font>
    <font>
      <sz val="11"/>
      <color rgb="FF000000"/>
      <name val="Arial"/>
      <family val="2"/>
      <charset val="186"/>
    </font>
    <font>
      <u/>
      <sz val="11"/>
      <color rgb="FF00244D"/>
      <name val="Arial"/>
      <family val="2"/>
      <charset val="186"/>
    </font>
    <font>
      <sz val="11"/>
      <color rgb="FFFFFFFF"/>
      <name val="Arial"/>
      <family val="2"/>
      <charset val="186"/>
    </font>
    <font>
      <b/>
      <sz val="11"/>
      <color rgb="FF00244D"/>
      <name val="Arial"/>
      <family val="2"/>
      <charset val="186"/>
    </font>
    <font>
      <b/>
      <sz val="11"/>
      <name val="Arial"/>
      <family val="2"/>
      <charset val="186"/>
    </font>
    <font>
      <sz val="11"/>
      <name val="Arial"/>
      <family val="2"/>
      <charset val="186"/>
    </font>
    <font>
      <sz val="10"/>
      <name val="Arial"/>
      <family val="2"/>
      <charset val="186"/>
    </font>
    <font>
      <sz val="10"/>
      <name val="Arial"/>
      <family val="2"/>
    </font>
    <font>
      <b/>
      <sz val="9"/>
      <color indexed="81"/>
      <name val="Tahoma"/>
      <family val="2"/>
      <charset val="186"/>
    </font>
    <font>
      <sz val="9"/>
      <color indexed="81"/>
      <name val="Tahoma"/>
      <family val="2"/>
      <charset val="186"/>
    </font>
    <font>
      <sz val="11"/>
      <color rgb="FF00244D"/>
      <name val="Arial"/>
      <family val="2"/>
      <charset val="186"/>
    </font>
    <font>
      <b/>
      <sz val="11"/>
      <color rgb="FF8D8473"/>
      <name val="Arial"/>
      <family val="2"/>
      <charset val="186"/>
    </font>
    <font>
      <vertAlign val="subscript"/>
      <sz val="11"/>
      <name val="Arial"/>
      <family val="2"/>
      <charset val="186"/>
    </font>
    <font>
      <sz val="11"/>
      <color rgb="FFFF0000"/>
      <name val="Arial"/>
      <family val="2"/>
      <charset val="186"/>
    </font>
    <font>
      <vertAlign val="subscript"/>
      <sz val="11"/>
      <color rgb="FF000000"/>
      <name val="Arial"/>
      <family val="2"/>
      <charset val="186"/>
    </font>
    <font>
      <sz val="10"/>
      <color rgb="FF8D8473"/>
      <name val="Arial"/>
      <family val="2"/>
      <charset val="186"/>
    </font>
    <font>
      <b/>
      <sz val="11"/>
      <color rgb="FF000000"/>
      <name val="Arial"/>
      <family val="2"/>
      <charset val="186"/>
    </font>
    <font>
      <b/>
      <sz val="9"/>
      <name val="Arial"/>
      <family val="2"/>
      <charset val="186"/>
    </font>
    <font>
      <sz val="8"/>
      <color rgb="FFFF0000"/>
      <name val="Arial"/>
      <family val="2"/>
      <charset val="186"/>
    </font>
    <font>
      <sz val="11"/>
      <color rgb="FF000000"/>
      <name val="Calibri"/>
      <family val="2"/>
      <charset val="186"/>
    </font>
    <font>
      <sz val="10"/>
      <color rgb="FF00244D"/>
      <name val="Arial"/>
      <family val="2"/>
      <charset val="186"/>
    </font>
    <font>
      <sz val="11"/>
      <name val="Calibri Light"/>
      <family val="2"/>
      <charset val="186"/>
      <scheme val="major"/>
    </font>
    <font>
      <i/>
      <sz val="11"/>
      <color rgb="FF000000"/>
      <name val="Arial"/>
      <family val="2"/>
      <charset val="186"/>
    </font>
    <font>
      <i/>
      <sz val="11"/>
      <name val="Arial"/>
      <family val="2"/>
      <charset val="186"/>
    </font>
    <font>
      <i/>
      <sz val="10"/>
      <color rgb="FF00244D"/>
      <name val="Arial"/>
      <family val="2"/>
      <charset val="186"/>
    </font>
    <font>
      <b/>
      <i/>
      <sz val="11"/>
      <color rgb="FF000000"/>
      <name val="Arial"/>
      <family val="2"/>
      <charset val="186"/>
    </font>
    <font>
      <sz val="11"/>
      <color theme="0"/>
      <name val="Calibri Light"/>
      <family val="2"/>
      <charset val="186"/>
      <scheme val="major"/>
    </font>
    <font>
      <sz val="11"/>
      <color theme="0"/>
      <name val="Arial"/>
      <family val="2"/>
      <charset val="186"/>
    </font>
    <font>
      <sz val="11"/>
      <color theme="1"/>
      <name val="Arial"/>
      <family val="2"/>
      <charset val="186"/>
    </font>
    <font>
      <u/>
      <sz val="11"/>
      <color theme="10"/>
      <name val="Arial"/>
      <family val="2"/>
      <charset val="186"/>
    </font>
    <font>
      <sz val="11"/>
      <color theme="7" tint="-0.499984740745262"/>
      <name val="Arial"/>
      <family val="2"/>
      <charset val="186"/>
    </font>
    <font>
      <sz val="12"/>
      <color theme="7" tint="-0.499984740745262"/>
      <name val="Arial"/>
      <family val="2"/>
      <charset val="186"/>
    </font>
    <font>
      <sz val="14"/>
      <color theme="7" tint="-0.499984740745262"/>
      <name val="Arial"/>
      <family val="2"/>
      <charset val="186"/>
    </font>
    <font>
      <i/>
      <sz val="11"/>
      <color theme="7" tint="-0.499984740745262"/>
      <name val="Arial"/>
      <family val="2"/>
      <charset val="186"/>
    </font>
    <font>
      <i/>
      <sz val="12"/>
      <color theme="7" tint="-0.499984740745262"/>
      <name val="Arial"/>
      <family val="2"/>
      <charset val="186"/>
    </font>
    <font>
      <u/>
      <sz val="11"/>
      <color theme="7" tint="-0.499984740745262"/>
      <name val="Arial"/>
      <family val="2"/>
      <charset val="186"/>
    </font>
    <font>
      <i/>
      <u/>
      <sz val="11"/>
      <color theme="7" tint="-0.499984740745262"/>
      <name val="Arial"/>
      <family val="2"/>
      <charset val="186"/>
    </font>
    <font>
      <b/>
      <sz val="11"/>
      <color theme="7" tint="-0.499984740745262"/>
      <name val="Arial"/>
      <family val="2"/>
      <charset val="186"/>
    </font>
    <font>
      <b/>
      <i/>
      <sz val="11"/>
      <color theme="7" tint="-0.499984740745262"/>
      <name val="Arial"/>
      <family val="2"/>
      <charset val="186"/>
    </font>
    <font>
      <b/>
      <vertAlign val="subscript"/>
      <sz val="11"/>
      <color theme="7" tint="-0.499984740745262"/>
      <name val="Arial"/>
      <family val="2"/>
      <charset val="186"/>
    </font>
    <font>
      <sz val="10"/>
      <color theme="7" tint="-0.499984740745262"/>
      <name val="Arial"/>
      <family val="2"/>
      <charset val="186"/>
    </font>
    <font>
      <i/>
      <sz val="10"/>
      <color theme="7" tint="-0.499984740745262"/>
      <name val="Arial"/>
      <family val="2"/>
      <charset val="186"/>
    </font>
    <font>
      <vertAlign val="subscript"/>
      <sz val="11"/>
      <color theme="7" tint="-0.499984740745262"/>
      <name val="Arial"/>
      <family val="2"/>
      <charset val="186"/>
    </font>
    <font>
      <sz val="11"/>
      <color rgb="FF000000"/>
      <name val="Arial"/>
      <family val="2"/>
    </font>
    <font>
      <i/>
      <sz val="11"/>
      <color rgb="FF000000"/>
      <name val="Arial"/>
      <family val="2"/>
    </font>
    <font>
      <sz val="11"/>
      <name val="Arial"/>
      <family val="2"/>
    </font>
    <font>
      <i/>
      <sz val="11"/>
      <name val="Arial"/>
      <family val="2"/>
    </font>
    <font>
      <sz val="11"/>
      <color indexed="8"/>
      <name val="Calibri"/>
      <family val="2"/>
      <scheme val="minor"/>
    </font>
    <font>
      <sz val="9"/>
      <name val="Arial"/>
      <family val="2"/>
      <charset val="186"/>
    </font>
    <font>
      <sz val="12"/>
      <name val="Times New Roman"/>
      <family val="1"/>
      <charset val="186"/>
    </font>
    <font>
      <sz val="11"/>
      <color indexed="8"/>
      <name val="Calibri"/>
      <family val="2"/>
      <charset val="134"/>
    </font>
    <font>
      <sz val="10"/>
      <color rgb="FF000000"/>
      <name val="Arial"/>
      <family val="2"/>
      <charset val="186"/>
    </font>
    <font>
      <i/>
      <sz val="10"/>
      <color rgb="FF000000"/>
      <name val="Arial"/>
      <family val="2"/>
      <charset val="186"/>
    </font>
    <font>
      <i/>
      <sz val="9"/>
      <color rgb="FFFF0000"/>
      <name val="Arial"/>
      <family val="2"/>
      <charset val="186"/>
    </font>
    <font>
      <sz val="9"/>
      <color rgb="FF000000"/>
      <name val="Arial"/>
      <family val="2"/>
      <charset val="186"/>
    </font>
    <font>
      <b/>
      <sz val="10"/>
      <color theme="7" tint="-0.499984740745262"/>
      <name val="Arial"/>
      <family val="2"/>
      <charset val="186"/>
    </font>
    <font>
      <b/>
      <i/>
      <sz val="10"/>
      <color theme="7" tint="-0.499984740745262"/>
      <name val="Arial"/>
      <family val="2"/>
      <charset val="186"/>
    </font>
    <font>
      <sz val="11"/>
      <color rgb="FFC9D6D9"/>
      <name val="Arial"/>
      <family val="2"/>
      <charset val="186"/>
    </font>
    <font>
      <i/>
      <sz val="10"/>
      <color theme="9" tint="-0.499984740745262"/>
      <name val="Arial"/>
      <family val="2"/>
      <charset val="186"/>
    </font>
    <font>
      <sz val="11"/>
      <color theme="2" tint="-0.499984740745262"/>
      <name val="Arial"/>
      <family val="2"/>
      <charset val="186"/>
    </font>
    <font>
      <sz val="10"/>
      <name val="HelveticaLT"/>
      <charset val="186"/>
    </font>
    <font>
      <sz val="8"/>
      <name val="Calibri"/>
      <family val="2"/>
      <charset val="186"/>
      <scheme val="minor"/>
    </font>
  </fonts>
  <fills count="17">
    <fill>
      <patternFill patternType="none"/>
    </fill>
    <fill>
      <patternFill patternType="gray125"/>
    </fill>
    <fill>
      <patternFill patternType="solid">
        <fgColor rgb="FFFFFFFF"/>
        <bgColor rgb="FF000000"/>
      </patternFill>
    </fill>
    <fill>
      <patternFill patternType="solid">
        <fgColor theme="0"/>
        <bgColor indexed="64"/>
      </patternFill>
    </fill>
    <fill>
      <patternFill patternType="solid">
        <fgColor theme="7" tint="0.39997558519241921"/>
        <bgColor indexed="64"/>
      </patternFill>
    </fill>
    <fill>
      <patternFill patternType="solid">
        <fgColor theme="7" tint="0.79998168889431442"/>
        <bgColor indexed="64"/>
      </patternFill>
    </fill>
    <fill>
      <patternFill patternType="solid">
        <fgColor theme="7" tint="0.79998168889431442"/>
        <bgColor rgb="FF000000"/>
      </patternFill>
    </fill>
    <fill>
      <patternFill patternType="solid">
        <fgColor theme="7" tint="0.59999389629810485"/>
        <bgColor rgb="FF000000"/>
      </patternFill>
    </fill>
    <fill>
      <patternFill patternType="solid">
        <fgColor theme="9" tint="0.39997558519241921"/>
        <bgColor rgb="FF000000"/>
      </patternFill>
    </fill>
    <fill>
      <patternFill patternType="solid">
        <fgColor theme="7" tint="0.59999389629810485"/>
        <bgColor indexed="64"/>
      </patternFill>
    </fill>
    <fill>
      <patternFill patternType="solid">
        <fgColor theme="2" tint="0.39997558519241921"/>
        <bgColor rgb="FF000000"/>
      </patternFill>
    </fill>
    <fill>
      <patternFill patternType="solid">
        <fgColor theme="9" tint="-0.249977111117893"/>
        <bgColor indexed="64"/>
      </patternFill>
    </fill>
    <fill>
      <patternFill patternType="solid">
        <fgColor theme="2" tint="-0.499984740745262"/>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2" tint="0.39997558519241921"/>
        <bgColor indexed="64"/>
      </patternFill>
    </fill>
    <fill>
      <patternFill patternType="solid">
        <fgColor theme="0"/>
        <bgColor rgb="FF000000"/>
      </patternFill>
    </fill>
  </fills>
  <borders count="95">
    <border>
      <left/>
      <right/>
      <top/>
      <bottom/>
      <diagonal/>
    </border>
    <border>
      <left/>
      <right/>
      <top style="medium">
        <color rgb="FF00244D"/>
      </top>
      <bottom/>
      <diagonal/>
    </border>
    <border>
      <left style="medium">
        <color rgb="FF00244D"/>
      </left>
      <right/>
      <top/>
      <bottom/>
      <diagonal/>
    </border>
    <border>
      <left/>
      <right style="medium">
        <color rgb="FF00244D"/>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rgb="FF00244D"/>
      </left>
      <right style="medium">
        <color rgb="FF00244D"/>
      </right>
      <top/>
      <bottom/>
      <diagonal/>
    </border>
    <border>
      <left/>
      <right/>
      <top/>
      <bottom style="thin">
        <color rgb="FF00244D"/>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rgb="FF00244D"/>
      </bottom>
      <diagonal/>
    </border>
    <border>
      <left/>
      <right/>
      <top style="medium">
        <color theme="7"/>
      </top>
      <bottom style="medium">
        <color rgb="FF00244D"/>
      </bottom>
      <diagonal/>
    </border>
    <border>
      <left/>
      <right style="medium">
        <color theme="7"/>
      </right>
      <top style="medium">
        <color theme="7"/>
      </top>
      <bottom style="medium">
        <color rgb="FF00244D"/>
      </bottom>
      <diagonal/>
    </border>
    <border>
      <left style="medium">
        <color theme="7"/>
      </left>
      <right/>
      <top style="medium">
        <color rgb="FF00244D"/>
      </top>
      <bottom/>
      <diagonal/>
    </border>
    <border>
      <left/>
      <right style="medium">
        <color theme="7"/>
      </right>
      <top style="medium">
        <color rgb="FF00244D"/>
      </top>
      <bottom/>
      <diagonal/>
    </border>
    <border>
      <left style="medium">
        <color theme="7"/>
      </left>
      <right/>
      <top/>
      <bottom/>
      <diagonal/>
    </border>
    <border>
      <left/>
      <right style="medium">
        <color theme="7"/>
      </right>
      <top/>
      <bottom/>
      <diagonal/>
    </border>
    <border>
      <left style="medium">
        <color theme="7"/>
      </left>
      <right/>
      <top/>
      <bottom style="medium">
        <color theme="7"/>
      </bottom>
      <diagonal/>
    </border>
    <border>
      <left/>
      <right/>
      <top/>
      <bottom style="medium">
        <color theme="7"/>
      </bottom>
      <diagonal/>
    </border>
    <border>
      <left/>
      <right style="medium">
        <color theme="7"/>
      </right>
      <top/>
      <bottom style="medium">
        <color theme="7"/>
      </bottom>
      <diagonal/>
    </border>
    <border>
      <left style="medium">
        <color theme="7"/>
      </left>
      <right style="medium">
        <color theme="7"/>
      </right>
      <top style="medium">
        <color rgb="FF00244D"/>
      </top>
      <bottom style="medium">
        <color theme="7"/>
      </bottom>
      <diagonal/>
    </border>
    <border>
      <left style="medium">
        <color indexed="64"/>
      </left>
      <right/>
      <top/>
      <bottom style="medium">
        <color indexed="64"/>
      </bottom>
      <diagonal/>
    </border>
    <border>
      <left style="medium">
        <color indexed="64"/>
      </left>
      <right style="medium">
        <color indexed="64"/>
      </right>
      <top/>
      <bottom style="medium">
        <color indexed="64"/>
      </bottom>
      <diagonal/>
    </border>
    <border>
      <left style="medium">
        <color theme="7"/>
      </left>
      <right style="medium">
        <color theme="7"/>
      </right>
      <top style="medium">
        <color theme="7"/>
      </top>
      <bottom/>
      <diagonal/>
    </border>
    <border>
      <left style="medium">
        <color theme="7"/>
      </left>
      <right style="medium">
        <color theme="7"/>
      </right>
      <top/>
      <bottom style="medium">
        <color theme="7"/>
      </bottom>
      <diagonal/>
    </border>
    <border>
      <left style="medium">
        <color theme="7"/>
      </left>
      <right style="medium">
        <color theme="7"/>
      </right>
      <top/>
      <bottom/>
      <diagonal/>
    </border>
    <border>
      <left style="medium">
        <color theme="7"/>
      </left>
      <right style="medium">
        <color theme="7"/>
      </right>
      <top style="medium">
        <color theme="7"/>
      </top>
      <bottom style="medium">
        <color rgb="FF00244D"/>
      </bottom>
      <diagonal/>
    </border>
    <border>
      <left style="medium">
        <color theme="7"/>
      </left>
      <right style="medium">
        <color theme="7"/>
      </right>
      <top style="medium">
        <color rgb="FF00244D"/>
      </top>
      <bottom style="medium">
        <color rgb="FF00244D"/>
      </bottom>
      <diagonal/>
    </border>
    <border>
      <left style="medium">
        <color theme="7"/>
      </left>
      <right/>
      <top style="medium">
        <color theme="7"/>
      </top>
      <bottom/>
      <diagonal/>
    </border>
    <border>
      <left/>
      <right style="medium">
        <color theme="7"/>
      </right>
      <top style="medium">
        <color theme="7"/>
      </top>
      <bottom/>
      <diagonal/>
    </border>
    <border>
      <left style="thick">
        <color theme="7"/>
      </left>
      <right style="thick">
        <color theme="7"/>
      </right>
      <top style="thick">
        <color theme="7"/>
      </top>
      <bottom style="thick">
        <color theme="7"/>
      </bottom>
      <diagonal/>
    </border>
    <border>
      <left style="thick">
        <color theme="7"/>
      </left>
      <right style="medium">
        <color rgb="FF00244D"/>
      </right>
      <top style="thick">
        <color theme="7"/>
      </top>
      <bottom/>
      <diagonal/>
    </border>
    <border>
      <left style="medium">
        <color rgb="FF00244D"/>
      </left>
      <right style="medium">
        <color rgb="FF00244D"/>
      </right>
      <top style="thick">
        <color theme="7"/>
      </top>
      <bottom/>
      <diagonal/>
    </border>
    <border>
      <left style="medium">
        <color rgb="FF00244D"/>
      </left>
      <right style="thick">
        <color theme="7"/>
      </right>
      <top style="thick">
        <color theme="7"/>
      </top>
      <bottom/>
      <diagonal/>
    </border>
    <border>
      <left style="thick">
        <color theme="7"/>
      </left>
      <right style="medium">
        <color theme="7"/>
      </right>
      <top style="medium">
        <color theme="7"/>
      </top>
      <bottom style="medium">
        <color theme="7"/>
      </bottom>
      <diagonal/>
    </border>
    <border>
      <left style="medium">
        <color theme="7"/>
      </left>
      <right style="thick">
        <color theme="7"/>
      </right>
      <top style="medium">
        <color theme="7"/>
      </top>
      <bottom style="medium">
        <color theme="7"/>
      </bottom>
      <diagonal/>
    </border>
    <border>
      <left style="thick">
        <color theme="7"/>
      </left>
      <right style="medium">
        <color theme="7"/>
      </right>
      <top style="medium">
        <color theme="7"/>
      </top>
      <bottom/>
      <diagonal/>
    </border>
    <border>
      <left style="medium">
        <color theme="7"/>
      </left>
      <right style="thick">
        <color theme="7"/>
      </right>
      <top style="medium">
        <color theme="7"/>
      </top>
      <bottom/>
      <diagonal/>
    </border>
    <border>
      <left style="thick">
        <color theme="7"/>
      </left>
      <right style="medium">
        <color theme="7"/>
      </right>
      <top/>
      <bottom style="medium">
        <color theme="7"/>
      </bottom>
      <diagonal/>
    </border>
    <border>
      <left style="medium">
        <color theme="7"/>
      </left>
      <right style="thick">
        <color theme="7"/>
      </right>
      <top/>
      <bottom style="medium">
        <color theme="7"/>
      </bottom>
      <diagonal/>
    </border>
    <border>
      <left style="thick">
        <color theme="7"/>
      </left>
      <right style="medium">
        <color theme="7"/>
      </right>
      <top/>
      <bottom/>
      <diagonal/>
    </border>
    <border>
      <left style="medium">
        <color theme="7"/>
      </left>
      <right style="thick">
        <color theme="7"/>
      </right>
      <top/>
      <bottom/>
      <diagonal/>
    </border>
    <border>
      <left style="thick">
        <color theme="7"/>
      </left>
      <right style="medium">
        <color theme="7"/>
      </right>
      <top/>
      <bottom style="thick">
        <color theme="7"/>
      </bottom>
      <diagonal/>
    </border>
    <border>
      <left style="medium">
        <color theme="7"/>
      </left>
      <right style="medium">
        <color theme="7"/>
      </right>
      <top/>
      <bottom style="thick">
        <color theme="7"/>
      </bottom>
      <diagonal/>
    </border>
    <border>
      <left style="medium">
        <color theme="7"/>
      </left>
      <right style="thick">
        <color theme="7"/>
      </right>
      <top/>
      <bottom style="thick">
        <color theme="7"/>
      </bottom>
      <diagonal/>
    </border>
    <border>
      <left style="thick">
        <color theme="7"/>
      </left>
      <right/>
      <top style="thick">
        <color theme="7"/>
      </top>
      <bottom/>
      <diagonal/>
    </border>
    <border>
      <left/>
      <right/>
      <top style="thick">
        <color theme="7"/>
      </top>
      <bottom/>
      <diagonal/>
    </border>
    <border>
      <left/>
      <right style="thick">
        <color theme="7"/>
      </right>
      <top style="thick">
        <color theme="7"/>
      </top>
      <bottom/>
      <diagonal/>
    </border>
    <border>
      <left style="thick">
        <color theme="7"/>
      </left>
      <right style="medium">
        <color theme="7"/>
      </right>
      <top style="medium">
        <color theme="7"/>
      </top>
      <bottom style="thick">
        <color theme="7"/>
      </bottom>
      <diagonal/>
    </border>
    <border>
      <left style="medium">
        <color theme="7"/>
      </left>
      <right style="medium">
        <color theme="7"/>
      </right>
      <top style="medium">
        <color theme="7"/>
      </top>
      <bottom style="thick">
        <color theme="7"/>
      </bottom>
      <diagonal/>
    </border>
    <border>
      <left style="medium">
        <color theme="7"/>
      </left>
      <right style="thick">
        <color theme="7"/>
      </right>
      <top style="medium">
        <color theme="7"/>
      </top>
      <bottom style="thick">
        <color theme="7"/>
      </bottom>
      <diagonal/>
    </border>
    <border>
      <left style="thick">
        <color theme="7"/>
      </left>
      <right style="medium">
        <color rgb="FF00244D"/>
      </right>
      <top style="thick">
        <color theme="7"/>
      </top>
      <bottom style="medium">
        <color theme="7"/>
      </bottom>
      <diagonal/>
    </border>
    <border>
      <left style="medium">
        <color rgb="FF00244D"/>
      </left>
      <right style="medium">
        <color rgb="FF00244D"/>
      </right>
      <top style="thick">
        <color theme="7"/>
      </top>
      <bottom style="medium">
        <color theme="7"/>
      </bottom>
      <diagonal/>
    </border>
    <border>
      <left style="medium">
        <color rgb="FF00244D"/>
      </left>
      <right style="thick">
        <color theme="7"/>
      </right>
      <top style="thick">
        <color theme="7"/>
      </top>
      <bottom style="medium">
        <color theme="7"/>
      </bottom>
      <diagonal/>
    </border>
    <border>
      <left style="thick">
        <color theme="7"/>
      </left>
      <right/>
      <top/>
      <bottom/>
      <diagonal/>
    </border>
    <border>
      <left/>
      <right style="thick">
        <color theme="7"/>
      </right>
      <top/>
      <bottom/>
      <diagonal/>
    </border>
    <border>
      <left style="thick">
        <color theme="7"/>
      </left>
      <right style="medium">
        <color theme="7"/>
      </right>
      <top style="medium">
        <color theme="7"/>
      </top>
      <bottom style="medium">
        <color rgb="FF00244D"/>
      </bottom>
      <diagonal/>
    </border>
    <border>
      <left style="thick">
        <color theme="7"/>
      </left>
      <right style="medium">
        <color theme="7"/>
      </right>
      <top style="medium">
        <color rgb="FF00244D"/>
      </top>
      <bottom/>
      <diagonal/>
    </border>
    <border>
      <left style="thick">
        <color theme="7"/>
      </left>
      <right style="medium">
        <color theme="7"/>
      </right>
      <top/>
      <bottom style="medium">
        <color rgb="FF00244D"/>
      </bottom>
      <diagonal/>
    </border>
    <border>
      <left style="thick">
        <color theme="7"/>
      </left>
      <right style="medium">
        <color theme="7"/>
      </right>
      <top style="medium">
        <color rgb="FF00244D"/>
      </top>
      <bottom style="medium">
        <color theme="7"/>
      </bottom>
      <diagonal/>
    </border>
    <border>
      <left style="thick">
        <color theme="7"/>
      </left>
      <right style="medium">
        <color rgb="FF00244D"/>
      </right>
      <top/>
      <bottom/>
      <diagonal/>
    </border>
    <border>
      <left style="medium">
        <color rgb="FF00244D"/>
      </left>
      <right style="thick">
        <color theme="7"/>
      </right>
      <top/>
      <bottom/>
      <diagonal/>
    </border>
    <border>
      <left style="thick">
        <color theme="7"/>
      </left>
      <right style="medium">
        <color theme="7"/>
      </right>
      <top style="medium">
        <color rgb="FF00244D"/>
      </top>
      <bottom style="medium">
        <color rgb="FF00244D"/>
      </bottom>
      <diagonal/>
    </border>
    <border>
      <left/>
      <right style="thick">
        <color theme="7"/>
      </right>
      <top style="medium">
        <color theme="7"/>
      </top>
      <bottom/>
      <diagonal/>
    </border>
    <border>
      <left/>
      <right style="thick">
        <color theme="7"/>
      </right>
      <top/>
      <bottom style="medium">
        <color theme="7"/>
      </bottom>
      <diagonal/>
    </border>
    <border>
      <left/>
      <right/>
      <top/>
      <bottom style="thick">
        <color theme="7"/>
      </bottom>
      <diagonal/>
    </border>
    <border>
      <left style="medium">
        <color theme="7"/>
      </left>
      <right/>
      <top/>
      <bottom style="thick">
        <color theme="7"/>
      </bottom>
      <diagonal/>
    </border>
    <border>
      <left/>
      <right style="medium">
        <color theme="7"/>
      </right>
      <top/>
      <bottom style="thick">
        <color theme="7"/>
      </bottom>
      <diagonal/>
    </border>
    <border>
      <left/>
      <right style="thick">
        <color theme="7"/>
      </right>
      <top/>
      <bottom style="thick">
        <color theme="7"/>
      </bottom>
      <diagonal/>
    </border>
    <border>
      <left style="thick">
        <color theme="7"/>
      </left>
      <right/>
      <top style="medium">
        <color theme="7"/>
      </top>
      <bottom style="medium">
        <color theme="7"/>
      </bottom>
      <diagonal/>
    </border>
    <border>
      <left style="thick">
        <color theme="7"/>
      </left>
      <right/>
      <top style="medium">
        <color theme="7"/>
      </top>
      <bottom style="thick">
        <color theme="7"/>
      </bottom>
      <diagonal/>
    </border>
    <border>
      <left style="thick">
        <color theme="7"/>
      </left>
      <right style="medium">
        <color rgb="FF8D8473"/>
      </right>
      <top style="thick">
        <color theme="7"/>
      </top>
      <bottom style="medium">
        <color theme="7"/>
      </bottom>
      <diagonal/>
    </border>
    <border>
      <left style="medium">
        <color rgb="FF8D8473"/>
      </left>
      <right style="thick">
        <color theme="7"/>
      </right>
      <top style="thick">
        <color theme="7"/>
      </top>
      <bottom style="medium">
        <color theme="7"/>
      </bottom>
      <diagonal/>
    </border>
    <border>
      <left style="thick">
        <color theme="7"/>
      </left>
      <right style="medium">
        <color rgb="FF8D8473"/>
      </right>
      <top style="medium">
        <color theme="7"/>
      </top>
      <bottom style="thick">
        <color theme="7"/>
      </bottom>
      <diagonal/>
    </border>
    <border>
      <left style="medium">
        <color rgb="FF8D8473"/>
      </left>
      <right style="thick">
        <color theme="7"/>
      </right>
      <top style="medium">
        <color theme="7"/>
      </top>
      <bottom style="thick">
        <color theme="7"/>
      </bottom>
      <diagonal/>
    </border>
    <border>
      <left style="thick">
        <color theme="7"/>
      </left>
      <right style="medium">
        <color rgb="FF00244D"/>
      </right>
      <top style="medium">
        <color theme="7"/>
      </top>
      <bottom style="medium">
        <color theme="7"/>
      </bottom>
      <diagonal/>
    </border>
    <border>
      <left style="medium">
        <color rgb="FF00244D"/>
      </left>
      <right style="thick">
        <color theme="7"/>
      </right>
      <top style="medium">
        <color theme="7"/>
      </top>
      <bottom style="medium">
        <color theme="7"/>
      </bottom>
      <diagonal/>
    </border>
    <border>
      <left style="thick">
        <color theme="7"/>
      </left>
      <right style="medium">
        <color rgb="FF00244D"/>
      </right>
      <top style="medium">
        <color theme="7"/>
      </top>
      <bottom style="thick">
        <color theme="7"/>
      </bottom>
      <diagonal/>
    </border>
    <border>
      <left style="medium">
        <color rgb="FF00244D"/>
      </left>
      <right style="thick">
        <color theme="7"/>
      </right>
      <top style="medium">
        <color theme="7"/>
      </top>
      <bottom style="thick">
        <color theme="7"/>
      </bottom>
      <diagonal/>
    </border>
    <border>
      <left style="thick">
        <color theme="7"/>
      </left>
      <right/>
      <top style="thick">
        <color theme="7"/>
      </top>
      <bottom style="medium">
        <color theme="7"/>
      </bottom>
      <diagonal/>
    </border>
    <border>
      <left/>
      <right style="thick">
        <color theme="7"/>
      </right>
      <top style="thick">
        <color theme="7"/>
      </top>
      <bottom style="medium">
        <color theme="7"/>
      </bottom>
      <diagonal/>
    </border>
    <border>
      <left/>
      <right style="thick">
        <color theme="7"/>
      </right>
      <top style="medium">
        <color theme="7"/>
      </top>
      <bottom style="thick">
        <color theme="7"/>
      </bottom>
      <diagonal/>
    </border>
    <border>
      <left style="thick">
        <color theme="7"/>
      </left>
      <right style="thick">
        <color theme="7"/>
      </right>
      <top style="thick">
        <color theme="7"/>
      </top>
      <bottom style="medium">
        <color theme="7"/>
      </bottom>
      <diagonal/>
    </border>
    <border>
      <left style="thick">
        <color theme="7"/>
      </left>
      <right style="thick">
        <color theme="7"/>
      </right>
      <top style="medium">
        <color theme="7"/>
      </top>
      <bottom style="thick">
        <color theme="7"/>
      </bottom>
      <diagonal/>
    </border>
    <border>
      <left style="thick">
        <color theme="7"/>
      </left>
      <right style="thick">
        <color theme="7"/>
      </right>
      <top style="medium">
        <color theme="7"/>
      </top>
      <bottom style="medium">
        <color theme="7"/>
      </bottom>
      <diagonal/>
    </border>
    <border>
      <left/>
      <right style="thick">
        <color theme="7"/>
      </right>
      <top style="medium">
        <color theme="7"/>
      </top>
      <bottom style="medium">
        <color theme="7"/>
      </bottom>
      <diagonal/>
    </border>
    <border>
      <left style="thick">
        <color theme="7"/>
      </left>
      <right/>
      <top style="medium">
        <color theme="7"/>
      </top>
      <bottom/>
      <diagonal/>
    </border>
    <border>
      <left style="thick">
        <color theme="7"/>
      </left>
      <right/>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right/>
      <top style="medium">
        <color theme="7"/>
      </top>
      <bottom/>
      <diagonal/>
    </border>
    <border>
      <left style="thick">
        <color theme="7"/>
      </left>
      <right style="medium">
        <color theme="7"/>
      </right>
      <top style="thick">
        <color theme="7"/>
      </top>
      <bottom style="medium">
        <color theme="7"/>
      </bottom>
      <diagonal/>
    </border>
    <border>
      <left style="medium">
        <color theme="7"/>
      </left>
      <right style="thick">
        <color theme="7"/>
      </right>
      <top style="thick">
        <color theme="7"/>
      </top>
      <bottom style="medium">
        <color theme="7"/>
      </bottom>
      <diagonal/>
    </border>
    <border>
      <left style="medium">
        <color theme="7"/>
      </left>
      <right style="medium">
        <color rgb="FF00244D"/>
      </right>
      <top/>
      <bottom style="medium">
        <color theme="7"/>
      </bottom>
      <diagonal/>
    </border>
    <border>
      <left style="medium">
        <color rgb="FF00244D"/>
      </left>
      <right style="medium">
        <color theme="7"/>
      </right>
      <top/>
      <bottom style="medium">
        <color theme="7"/>
      </bottom>
      <diagonal/>
    </border>
  </borders>
  <cellStyleXfs count="12">
    <xf numFmtId="0" fontId="0" fillId="0" borderId="0"/>
    <xf numFmtId="0" fontId="3" fillId="0" borderId="0" applyNumberFormat="0" applyFill="0" applyBorder="0" applyAlignment="0" applyProtection="0"/>
    <xf numFmtId="0" fontId="10" fillId="0" borderId="0"/>
    <xf numFmtId="0" fontId="11" fillId="0" borderId="0"/>
    <xf numFmtId="0" fontId="2" fillId="0" borderId="0"/>
    <xf numFmtId="0" fontId="2" fillId="0" borderId="0"/>
    <xf numFmtId="0" fontId="51" fillId="0" borderId="0"/>
    <xf numFmtId="0" fontId="53" fillId="0" borderId="0">
      <alignment vertical="center"/>
    </xf>
    <xf numFmtId="0" fontId="53" fillId="0" borderId="0">
      <alignment vertical="center"/>
    </xf>
    <xf numFmtId="0" fontId="54" fillId="0" borderId="0">
      <alignment vertical="center"/>
    </xf>
    <xf numFmtId="0" fontId="10" fillId="0" borderId="0"/>
    <xf numFmtId="0" fontId="64" fillId="0" borderId="0"/>
  </cellStyleXfs>
  <cellXfs count="525">
    <xf numFmtId="0" fontId="0" fillId="0" borderId="0" xfId="0"/>
    <xf numFmtId="0" fontId="4" fillId="0" borderId="0" xfId="0" applyFont="1"/>
    <xf numFmtId="0" fontId="5" fillId="0" borderId="0" xfId="1" applyFont="1" applyFill="1" applyBorder="1" applyAlignment="1" applyProtection="1"/>
    <xf numFmtId="0" fontId="5" fillId="0" borderId="0" xfId="1" applyFont="1" applyFill="1" applyBorder="1" applyAlignment="1" applyProtection="1">
      <alignment horizontal="left"/>
    </xf>
    <xf numFmtId="0" fontId="6" fillId="0" borderId="0" xfId="1" applyFont="1" applyFill="1" applyBorder="1" applyAlignment="1" applyProtection="1"/>
    <xf numFmtId="0" fontId="4" fillId="0" borderId="0" xfId="0" applyFont="1" applyAlignment="1">
      <alignment wrapText="1"/>
    </xf>
    <xf numFmtId="0" fontId="4" fillId="0" borderId="0" xfId="0" applyFont="1" applyAlignment="1">
      <alignment horizontal="right" indent="1"/>
    </xf>
    <xf numFmtId="0" fontId="4" fillId="0" borderId="0" xfId="0" applyFont="1" applyAlignment="1">
      <alignment horizontal="right" wrapText="1" indent="1"/>
    </xf>
    <xf numFmtId="0" fontId="6" fillId="0" borderId="0" xfId="0" applyFont="1"/>
    <xf numFmtId="0" fontId="14" fillId="0" borderId="0" xfId="0" applyFont="1"/>
    <xf numFmtId="0" fontId="9" fillId="0" borderId="0" xfId="0" applyFont="1"/>
    <xf numFmtId="166" fontId="4" fillId="0" borderId="0" xfId="0" applyNumberFormat="1" applyFont="1"/>
    <xf numFmtId="0" fontId="17" fillId="0" borderId="0" xfId="0" applyFont="1"/>
    <xf numFmtId="164" fontId="4" fillId="0" borderId="0" xfId="0" applyNumberFormat="1" applyFont="1"/>
    <xf numFmtId="0" fontId="19" fillId="0" borderId="0" xfId="0" applyFont="1"/>
    <xf numFmtId="0" fontId="20" fillId="0" borderId="0" xfId="0" applyFont="1" applyAlignment="1">
      <alignment horizontal="right" indent="1"/>
    </xf>
    <xf numFmtId="0" fontId="6" fillId="0" borderId="0" xfId="0" applyFont="1" applyAlignment="1">
      <alignment horizontal="right" indent="1"/>
    </xf>
    <xf numFmtId="2" fontId="6" fillId="0" borderId="0" xfId="0" applyNumberFormat="1" applyFont="1" applyAlignment="1">
      <alignment horizontal="center"/>
    </xf>
    <xf numFmtId="169" fontId="4" fillId="0" borderId="0" xfId="0" applyNumberFormat="1" applyFont="1"/>
    <xf numFmtId="170" fontId="21" fillId="0" borderId="0" xfId="4" applyNumberFormat="1" applyFont="1" applyAlignment="1">
      <alignment horizontal="right"/>
    </xf>
    <xf numFmtId="0" fontId="4" fillId="0" borderId="0" xfId="0" applyFont="1" applyAlignment="1">
      <alignment vertical="center"/>
    </xf>
    <xf numFmtId="0" fontId="8" fillId="2" borderId="0" xfId="0" applyFont="1" applyFill="1" applyAlignment="1">
      <alignment horizontal="center" vertical="center"/>
    </xf>
    <xf numFmtId="166" fontId="4" fillId="0" borderId="0" xfId="0" applyNumberFormat="1" applyFont="1" applyAlignment="1">
      <alignment horizontal="right" indent="1"/>
    </xf>
    <xf numFmtId="0" fontId="9" fillId="2" borderId="0" xfId="0" applyFont="1" applyFill="1"/>
    <xf numFmtId="171" fontId="4" fillId="0" borderId="0" xfId="0" applyNumberFormat="1" applyFont="1"/>
    <xf numFmtId="0" fontId="22" fillId="0" borderId="0" xfId="0" applyFont="1"/>
    <xf numFmtId="0" fontId="23" fillId="0" borderId="0" xfId="0" applyFont="1" applyAlignment="1">
      <alignment vertical="center"/>
    </xf>
    <xf numFmtId="0" fontId="4" fillId="0" borderId="0" xfId="0" applyFont="1" applyAlignment="1">
      <alignment horizontal="right"/>
    </xf>
    <xf numFmtId="0" fontId="6" fillId="0" borderId="0" xfId="0" applyFont="1" applyAlignment="1">
      <alignment horizontal="right"/>
    </xf>
    <xf numFmtId="0" fontId="6" fillId="0" borderId="0" xfId="0" applyFont="1" applyAlignment="1">
      <alignment horizontal="center"/>
    </xf>
    <xf numFmtId="1" fontId="6" fillId="0" borderId="0" xfId="0" applyNumberFormat="1" applyFont="1" applyAlignment="1">
      <alignment horizontal="center"/>
    </xf>
    <xf numFmtId="0" fontId="6" fillId="0" borderId="0" xfId="0" applyFont="1" applyAlignment="1">
      <alignment horizontal="left"/>
    </xf>
    <xf numFmtId="1" fontId="4" fillId="0" borderId="0" xfId="0" applyNumberFormat="1" applyFont="1"/>
    <xf numFmtId="169" fontId="17" fillId="0" borderId="0" xfId="0" applyNumberFormat="1" applyFont="1"/>
    <xf numFmtId="0" fontId="4" fillId="0" borderId="0" xfId="0" applyFont="1" applyAlignment="1">
      <alignment horizontal="left" wrapText="1"/>
    </xf>
    <xf numFmtId="0" fontId="20" fillId="0" borderId="0" xfId="0" applyFont="1"/>
    <xf numFmtId="0" fontId="4" fillId="0" borderId="0" xfId="0" applyFont="1" applyAlignment="1">
      <alignment horizontal="left"/>
    </xf>
    <xf numFmtId="167" fontId="9" fillId="0" borderId="0" xfId="0" applyNumberFormat="1" applyFont="1" applyAlignment="1">
      <alignment horizontal="center"/>
    </xf>
    <xf numFmtId="0" fontId="26" fillId="0" borderId="0" xfId="0" applyFont="1"/>
    <xf numFmtId="1" fontId="30" fillId="0" borderId="0" xfId="0" applyNumberFormat="1" applyFont="1" applyAlignment="1">
      <alignment horizontal="center"/>
    </xf>
    <xf numFmtId="0" fontId="25" fillId="0" borderId="0" xfId="0" applyFont="1"/>
    <xf numFmtId="0" fontId="4" fillId="3" borderId="0" xfId="0" applyFont="1" applyFill="1"/>
    <xf numFmtId="0" fontId="31" fillId="0" borderId="0" xfId="0" applyFont="1"/>
    <xf numFmtId="0" fontId="26" fillId="0" borderId="0" xfId="0" applyFont="1" applyAlignment="1">
      <alignment horizontal="right" indent="1"/>
    </xf>
    <xf numFmtId="0" fontId="26" fillId="0" borderId="0" xfId="0" applyFont="1" applyAlignment="1">
      <alignment horizontal="left"/>
    </xf>
    <xf numFmtId="0" fontId="32" fillId="0" borderId="0" xfId="0" applyFont="1"/>
    <xf numFmtId="0" fontId="33" fillId="0" borderId="0" xfId="1" applyFont="1" applyFill="1" applyBorder="1"/>
    <xf numFmtId="1" fontId="31" fillId="0" borderId="0" xfId="0" applyNumberFormat="1" applyFont="1" applyAlignment="1">
      <alignment horizontal="center"/>
    </xf>
    <xf numFmtId="0" fontId="10" fillId="0" borderId="0" xfId="3" applyFont="1"/>
    <xf numFmtId="166" fontId="32" fillId="0" borderId="0" xfId="0" applyNumberFormat="1" applyFont="1"/>
    <xf numFmtId="169" fontId="32" fillId="0" borderId="0" xfId="0" applyNumberFormat="1" applyFont="1"/>
    <xf numFmtId="14" fontId="32" fillId="0" borderId="0" xfId="0" applyNumberFormat="1" applyFont="1"/>
    <xf numFmtId="166" fontId="9" fillId="0" borderId="0" xfId="0" applyNumberFormat="1" applyFont="1"/>
    <xf numFmtId="0" fontId="3" fillId="0" borderId="0" xfId="1" applyFill="1" applyBorder="1"/>
    <xf numFmtId="0" fontId="26" fillId="0" borderId="0" xfId="0" applyFont="1" applyAlignment="1">
      <alignment horizontal="left" wrapText="1"/>
    </xf>
    <xf numFmtId="3" fontId="0" fillId="0" borderId="0" xfId="0" applyNumberFormat="1"/>
    <xf numFmtId="0" fontId="4" fillId="0" borderId="0" xfId="0" applyFont="1" applyAlignment="1">
      <alignment horizontal="left" vertical="center"/>
    </xf>
    <xf numFmtId="0" fontId="34" fillId="0" borderId="12" xfId="0" applyFont="1" applyBorder="1"/>
    <xf numFmtId="0" fontId="34" fillId="0" borderId="1" xfId="0" applyFont="1" applyBorder="1"/>
    <xf numFmtId="0" fontId="34" fillId="0" borderId="13" xfId="0" applyFont="1" applyBorder="1"/>
    <xf numFmtId="0" fontId="35" fillId="5" borderId="15" xfId="0" applyFont="1" applyFill="1" applyBorder="1" applyAlignment="1">
      <alignment horizontal="center" vertical="center"/>
    </xf>
    <xf numFmtId="0" fontId="34" fillId="0" borderId="14" xfId="0" applyFont="1" applyBorder="1"/>
    <xf numFmtId="0" fontId="34" fillId="0" borderId="0" xfId="0" applyFont="1"/>
    <xf numFmtId="0" fontId="34" fillId="0" borderId="15" xfId="0" applyFont="1" applyBorder="1"/>
    <xf numFmtId="0" fontId="36" fillId="5" borderId="15" xfId="0" applyFont="1" applyFill="1" applyBorder="1"/>
    <xf numFmtId="0" fontId="34" fillId="0" borderId="15" xfId="1" applyFont="1" applyBorder="1" applyAlignment="1" applyProtection="1">
      <alignment horizontal="justify" vertical="top" wrapText="1"/>
    </xf>
    <xf numFmtId="0" fontId="39" fillId="0" borderId="0" xfId="1" applyFont="1" applyBorder="1" applyAlignment="1" applyProtection="1">
      <alignment horizontal="left" indent="2"/>
    </xf>
    <xf numFmtId="0" fontId="39" fillId="0" borderId="0" xfId="1" applyFont="1" applyBorder="1" applyAlignment="1" applyProtection="1"/>
    <xf numFmtId="0" fontId="37" fillId="0" borderId="14" xfId="0" applyFont="1" applyBorder="1"/>
    <xf numFmtId="0" fontId="40" fillId="0" borderId="0" xfId="1" applyFont="1" applyBorder="1" applyAlignment="1" applyProtection="1"/>
    <xf numFmtId="0" fontId="34" fillId="0" borderId="16" xfId="0" applyFont="1" applyBorder="1"/>
    <xf numFmtId="0" fontId="34" fillId="0" borderId="17" xfId="0" applyFont="1" applyBorder="1"/>
    <xf numFmtId="0" fontId="34" fillId="0" borderId="18" xfId="0" applyFont="1" applyBorder="1"/>
    <xf numFmtId="0" fontId="39" fillId="0" borderId="0" xfId="1" applyFont="1" applyFill="1" applyBorder="1" applyAlignment="1" applyProtection="1"/>
    <xf numFmtId="166" fontId="26" fillId="0" borderId="0" xfId="0" applyNumberFormat="1" applyFont="1"/>
    <xf numFmtId="0" fontId="29" fillId="0" borderId="0" xfId="0" applyFont="1"/>
    <xf numFmtId="0" fontId="9" fillId="0" borderId="8" xfId="0" applyFont="1" applyBorder="1" applyAlignment="1">
      <alignment horizontal="center" vertical="center"/>
    </xf>
    <xf numFmtId="0" fontId="4" fillId="0" borderId="8" xfId="0" applyFont="1" applyBorder="1" applyAlignment="1">
      <alignment horizontal="left" vertical="center" wrapText="1"/>
    </xf>
    <xf numFmtId="0" fontId="9" fillId="0" borderId="8" xfId="0" applyFont="1" applyBorder="1" applyAlignment="1">
      <alignment horizontal="left" vertical="center" wrapText="1"/>
    </xf>
    <xf numFmtId="164" fontId="9" fillId="0" borderId="8" xfId="0" applyNumberFormat="1" applyFont="1" applyBorder="1" applyAlignment="1">
      <alignment horizontal="center" vertical="center"/>
    </xf>
    <xf numFmtId="165" fontId="9" fillId="0" borderId="8" xfId="0" applyNumberFormat="1" applyFont="1" applyBorder="1" applyAlignment="1">
      <alignment horizontal="center" vertical="center"/>
    </xf>
    <xf numFmtId="0" fontId="9" fillId="0" borderId="8" xfId="0" applyFont="1" applyBorder="1" applyAlignment="1">
      <alignment horizontal="left" vertical="center"/>
    </xf>
    <xf numFmtId="0" fontId="4" fillId="0" borderId="8" xfId="0" applyFont="1" applyBorder="1" applyAlignment="1">
      <alignment horizontal="left" vertical="center"/>
    </xf>
    <xf numFmtId="0" fontId="4" fillId="0" borderId="8" xfId="0" applyFont="1" applyBorder="1" applyAlignment="1">
      <alignment horizontal="center" vertical="center" wrapText="1"/>
    </xf>
    <xf numFmtId="164" fontId="9" fillId="0" borderId="8" xfId="0" applyNumberFormat="1" applyFont="1" applyBorder="1" applyAlignment="1">
      <alignment vertical="center" wrapText="1"/>
    </xf>
    <xf numFmtId="0" fontId="9" fillId="0" borderId="8" xfId="0" applyFont="1" applyBorder="1" applyAlignment="1">
      <alignment vertical="center"/>
    </xf>
    <xf numFmtId="0" fontId="4" fillId="6" borderId="8" xfId="0" applyFont="1" applyFill="1" applyBorder="1" applyAlignment="1">
      <alignment horizontal="center" vertical="center" wrapText="1"/>
    </xf>
    <xf numFmtId="0" fontId="4" fillId="3" borderId="14" xfId="0" applyFont="1" applyFill="1" applyBorder="1" applyAlignment="1">
      <alignment vertical="center" wrapText="1"/>
    </xf>
    <xf numFmtId="0" fontId="4" fillId="0" borderId="33" xfId="0" applyFont="1" applyBorder="1" applyAlignment="1">
      <alignment vertical="center" wrapText="1"/>
    </xf>
    <xf numFmtId="164" fontId="9" fillId="0" borderId="34" xfId="0" applyNumberFormat="1" applyFont="1" applyBorder="1" applyAlignment="1">
      <alignment vertical="center" wrapText="1"/>
    </xf>
    <xf numFmtId="0" fontId="9" fillId="0" borderId="33" xfId="0" applyFont="1" applyBorder="1" applyAlignment="1">
      <alignment vertical="center" wrapText="1"/>
    </xf>
    <xf numFmtId="0" fontId="9" fillId="0" borderId="47" xfId="0" applyFont="1" applyBorder="1" applyAlignment="1">
      <alignment vertical="center" wrapText="1"/>
    </xf>
    <xf numFmtId="0" fontId="9" fillId="0" borderId="48" xfId="0" applyFont="1" applyBorder="1" applyAlignment="1">
      <alignment vertical="center"/>
    </xf>
    <xf numFmtId="0" fontId="9" fillId="0" borderId="48" xfId="0" applyFont="1" applyBorder="1" applyAlignment="1">
      <alignment horizontal="left" vertical="center" wrapText="1"/>
    </xf>
    <xf numFmtId="0" fontId="9" fillId="0" borderId="49" xfId="0" applyFont="1" applyBorder="1" applyAlignment="1">
      <alignment vertical="center"/>
    </xf>
    <xf numFmtId="0" fontId="9" fillId="0" borderId="34" xfId="0" applyFont="1" applyBorder="1" applyAlignment="1">
      <alignment horizontal="center" vertical="center"/>
    </xf>
    <xf numFmtId="0" fontId="4" fillId="0" borderId="33" xfId="0" applyFont="1" applyBorder="1" applyAlignment="1">
      <alignment horizontal="left" vertical="center" wrapText="1"/>
    </xf>
    <xf numFmtId="0" fontId="9" fillId="0" borderId="48" xfId="0" applyFont="1" applyBorder="1" applyAlignment="1">
      <alignment horizontal="left" vertical="center"/>
    </xf>
    <xf numFmtId="165" fontId="9" fillId="0" borderId="48" xfId="0" applyNumberFormat="1" applyFont="1" applyBorder="1" applyAlignment="1">
      <alignment horizontal="center" vertical="center"/>
    </xf>
    <xf numFmtId="0" fontId="27" fillId="3" borderId="18" xfId="0" applyFont="1" applyFill="1" applyBorder="1" applyAlignment="1">
      <alignment vertical="top" wrapText="1"/>
    </xf>
    <xf numFmtId="0" fontId="4" fillId="0" borderId="29" xfId="0" applyFont="1" applyBorder="1"/>
    <xf numFmtId="0" fontId="4" fillId="6" borderId="81" xfId="0" applyFont="1" applyFill="1" applyBorder="1"/>
    <xf numFmtId="0" fontId="4" fillId="7" borderId="8" xfId="0" applyFont="1" applyFill="1" applyBorder="1" applyAlignment="1">
      <alignment horizontal="center" vertical="center" wrapText="1"/>
    </xf>
    <xf numFmtId="0" fontId="9" fillId="6" borderId="8" xfId="0" applyFont="1" applyFill="1" applyBorder="1" applyAlignment="1">
      <alignment horizontal="center" vertical="center" wrapText="1"/>
    </xf>
    <xf numFmtId="0" fontId="4" fillId="6" borderId="22" xfId="0" applyFont="1" applyFill="1" applyBorder="1" applyAlignment="1">
      <alignment horizontal="center" vertical="center" wrapText="1"/>
    </xf>
    <xf numFmtId="0" fontId="26" fillId="6" borderId="23"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8" borderId="40" xfId="0" applyFont="1" applyFill="1" applyBorder="1" applyAlignment="1">
      <alignment horizontal="center" vertical="center" wrapText="1"/>
    </xf>
    <xf numFmtId="0" fontId="4" fillId="8" borderId="36" xfId="0" applyFont="1" applyFill="1" applyBorder="1" applyAlignment="1">
      <alignment horizontal="center" vertical="center" wrapText="1"/>
    </xf>
    <xf numFmtId="0" fontId="26" fillId="8" borderId="38" xfId="0" applyFont="1" applyFill="1" applyBorder="1" applyAlignment="1">
      <alignment horizontal="center" vertical="center" wrapText="1"/>
    </xf>
    <xf numFmtId="0" fontId="9" fillId="8" borderId="34" xfId="0" applyFont="1" applyFill="1" applyBorder="1" applyAlignment="1">
      <alignment horizontal="center" vertical="center"/>
    </xf>
    <xf numFmtId="0" fontId="4" fillId="8" borderId="82" xfId="0" applyFont="1" applyFill="1" applyBorder="1"/>
    <xf numFmtId="0" fontId="4" fillId="8" borderId="8" xfId="0" applyFont="1" applyFill="1" applyBorder="1" applyAlignment="1">
      <alignment horizontal="center" vertical="center" wrapText="1"/>
    </xf>
    <xf numFmtId="0" fontId="4" fillId="8" borderId="34" xfId="0" applyFont="1" applyFill="1" applyBorder="1" applyAlignment="1">
      <alignment horizontal="center" vertical="center" wrapText="1"/>
    </xf>
    <xf numFmtId="164" fontId="9" fillId="8" borderId="8" xfId="0" applyNumberFormat="1" applyFont="1" applyFill="1" applyBorder="1" applyAlignment="1">
      <alignment vertical="center" wrapText="1"/>
    </xf>
    <xf numFmtId="164" fontId="9" fillId="8" borderId="34" xfId="0" applyNumberFormat="1" applyFont="1" applyFill="1" applyBorder="1" applyAlignment="1">
      <alignment vertical="center" wrapText="1"/>
    </xf>
    <xf numFmtId="0" fontId="4" fillId="8" borderId="34" xfId="0" applyFont="1" applyFill="1" applyBorder="1" applyAlignment="1">
      <alignment horizontal="center" vertical="center"/>
    </xf>
    <xf numFmtId="169" fontId="4" fillId="8" borderId="36" xfId="0" applyNumberFormat="1" applyFont="1" applyFill="1" applyBorder="1" applyAlignment="1">
      <alignment horizontal="center" vertical="center"/>
    </xf>
    <xf numFmtId="169" fontId="26" fillId="8" borderId="38" xfId="0" applyNumberFormat="1" applyFont="1" applyFill="1" applyBorder="1" applyAlignment="1">
      <alignment horizontal="center" vertical="center"/>
    </xf>
    <xf numFmtId="172" fontId="27" fillId="8" borderId="38" xfId="0" applyNumberFormat="1" applyFont="1" applyFill="1" applyBorder="1" applyAlignment="1">
      <alignment horizontal="center" vertical="center" wrapText="1"/>
    </xf>
    <xf numFmtId="169" fontId="26" fillId="8" borderId="38" xfId="0" applyNumberFormat="1" applyFont="1" applyFill="1" applyBorder="1" applyAlignment="1">
      <alignment horizontal="center" vertical="center" wrapText="1"/>
    </xf>
    <xf numFmtId="169" fontId="4" fillId="8" borderId="36" xfId="0" applyNumberFormat="1" applyFont="1" applyFill="1" applyBorder="1" applyAlignment="1">
      <alignment horizontal="center" vertical="center" wrapText="1"/>
    </xf>
    <xf numFmtId="0" fontId="41" fillId="8" borderId="36" xfId="0" applyFont="1" applyFill="1" applyBorder="1" applyAlignment="1">
      <alignment horizontal="center" vertical="center"/>
    </xf>
    <xf numFmtId="0" fontId="41" fillId="8" borderId="40" xfId="0" applyFont="1" applyFill="1" applyBorder="1" applyAlignment="1">
      <alignment horizontal="center" vertical="center" wrapText="1"/>
    </xf>
    <xf numFmtId="0" fontId="42" fillId="8" borderId="40" xfId="0" applyFont="1" applyFill="1" applyBorder="1" applyAlignment="1">
      <alignment horizontal="center" vertical="center" wrapText="1"/>
    </xf>
    <xf numFmtId="0" fontId="42" fillId="8" borderId="43" xfId="0" applyFont="1" applyFill="1" applyBorder="1" applyAlignment="1">
      <alignment horizontal="center" vertical="center" wrapText="1"/>
    </xf>
    <xf numFmtId="1" fontId="4" fillId="8" borderId="36" xfId="0" applyNumberFormat="1" applyFont="1" applyFill="1" applyBorder="1" applyAlignment="1">
      <alignment horizontal="center" vertical="center" wrapText="1"/>
    </xf>
    <xf numFmtId="1" fontId="4" fillId="8" borderId="40" xfId="0" applyNumberFormat="1" applyFont="1" applyFill="1" applyBorder="1" applyAlignment="1">
      <alignment horizontal="center" vertical="center" wrapText="1"/>
    </xf>
    <xf numFmtId="1" fontId="26" fillId="8" borderId="38" xfId="0" applyNumberFormat="1" applyFont="1" applyFill="1" applyBorder="1" applyAlignment="1">
      <alignment horizontal="center" vertical="center" wrapText="1"/>
    </xf>
    <xf numFmtId="1" fontId="9" fillId="8" borderId="36" xfId="0" applyNumberFormat="1" applyFont="1" applyFill="1" applyBorder="1" applyAlignment="1">
      <alignment horizontal="center" vertical="center" wrapText="1"/>
    </xf>
    <xf numFmtId="1" fontId="9" fillId="8" borderId="40" xfId="0" applyNumberFormat="1" applyFont="1" applyFill="1" applyBorder="1" applyAlignment="1">
      <alignment horizontal="center" vertical="center" wrapText="1"/>
    </xf>
    <xf numFmtId="0" fontId="27" fillId="8" borderId="38" xfId="0" applyFont="1" applyFill="1" applyBorder="1" applyAlignment="1">
      <alignment horizontal="center" vertical="center"/>
    </xf>
    <xf numFmtId="0" fontId="42" fillId="8" borderId="40" xfId="0" applyFont="1" applyFill="1" applyBorder="1" applyAlignment="1">
      <alignment horizontal="center" vertical="center"/>
    </xf>
    <xf numFmtId="0" fontId="42" fillId="8" borderId="38" xfId="0" applyFont="1" applyFill="1" applyBorder="1" applyAlignment="1">
      <alignment horizontal="center" vertical="center" wrapText="1"/>
    </xf>
    <xf numFmtId="0" fontId="9" fillId="8" borderId="62" xfId="0" applyFont="1" applyFill="1" applyBorder="1" applyAlignment="1">
      <alignment horizontal="center" vertical="center"/>
    </xf>
    <xf numFmtId="0" fontId="9" fillId="8" borderId="54" xfId="0" applyFont="1" applyFill="1" applyBorder="1" applyAlignment="1">
      <alignment horizontal="center" vertical="center"/>
    </xf>
    <xf numFmtId="169" fontId="26" fillId="8" borderId="63" xfId="0" applyNumberFormat="1" applyFont="1" applyFill="1" applyBorder="1" applyAlignment="1">
      <alignment horizontal="center" vertical="center"/>
    </xf>
    <xf numFmtId="0" fontId="9" fillId="8" borderId="54" xfId="0" applyFont="1" applyFill="1" applyBorder="1" applyAlignment="1">
      <alignment horizontal="center" vertical="center" wrapText="1"/>
    </xf>
    <xf numFmtId="0" fontId="27" fillId="8" borderId="54" xfId="0" applyFont="1" applyFill="1" applyBorder="1" applyAlignment="1">
      <alignment horizontal="center" vertical="center"/>
    </xf>
    <xf numFmtId="0" fontId="47" fillId="8" borderId="34" xfId="0" applyFont="1" applyFill="1" applyBorder="1" applyAlignment="1">
      <alignment horizontal="center" vertical="center"/>
    </xf>
    <xf numFmtId="169" fontId="4" fillId="8" borderId="40" xfId="0" applyNumberFormat="1" applyFont="1" applyFill="1" applyBorder="1" applyAlignment="1">
      <alignment horizontal="center" vertical="center" wrapText="1"/>
    </xf>
    <xf numFmtId="169" fontId="41" fillId="8" borderId="36" xfId="0" applyNumberFormat="1" applyFont="1" applyFill="1" applyBorder="1" applyAlignment="1">
      <alignment horizontal="center" vertical="center"/>
    </xf>
    <xf numFmtId="169" fontId="42" fillId="8" borderId="38" xfId="0" applyNumberFormat="1" applyFont="1" applyFill="1" applyBorder="1" applyAlignment="1">
      <alignment horizontal="center" vertical="center"/>
    </xf>
    <xf numFmtId="169" fontId="26" fillId="8" borderId="40" xfId="0" applyNumberFormat="1" applyFont="1" applyFill="1" applyBorder="1" applyAlignment="1">
      <alignment horizontal="center" vertical="center"/>
    </xf>
    <xf numFmtId="0" fontId="47" fillId="6" borderId="8" xfId="0" applyFont="1" applyFill="1" applyBorder="1" applyAlignment="1">
      <alignment horizontal="center" vertical="center"/>
    </xf>
    <xf numFmtId="1" fontId="4" fillId="6" borderId="22" xfId="0" applyNumberFormat="1" applyFont="1" applyFill="1" applyBorder="1" applyAlignment="1">
      <alignment horizontal="center" vertical="center" wrapText="1"/>
    </xf>
    <xf numFmtId="0" fontId="41" fillId="6" borderId="22" xfId="0" applyFont="1" applyFill="1" applyBorder="1" applyAlignment="1">
      <alignment horizontal="center" vertical="center" wrapText="1"/>
    </xf>
    <xf numFmtId="0" fontId="42" fillId="6" borderId="23" xfId="0" applyFont="1" applyFill="1" applyBorder="1" applyAlignment="1">
      <alignment horizontal="center" vertical="center" wrapText="1"/>
    </xf>
    <xf numFmtId="1" fontId="4" fillId="6" borderId="24" xfId="0" applyNumberFormat="1" applyFont="1" applyFill="1" applyBorder="1" applyAlignment="1">
      <alignment horizontal="center" vertical="center" wrapText="1"/>
    </xf>
    <xf numFmtId="0" fontId="26" fillId="6" borderId="24" xfId="0" applyFont="1" applyFill="1" applyBorder="1" applyAlignment="1">
      <alignment horizontal="center" vertical="center" wrapText="1"/>
    </xf>
    <xf numFmtId="1" fontId="9" fillId="6" borderId="22" xfId="0" applyNumberFormat="1" applyFont="1" applyFill="1" applyBorder="1" applyAlignment="1">
      <alignment horizontal="center" vertical="center" wrapText="1"/>
    </xf>
    <xf numFmtId="0" fontId="4" fillId="6" borderId="22" xfId="0" applyFont="1" applyFill="1" applyBorder="1" applyAlignment="1">
      <alignment horizontal="center" vertical="center"/>
    </xf>
    <xf numFmtId="169" fontId="26" fillId="6" borderId="23" xfId="0" applyNumberFormat="1" applyFont="1" applyFill="1" applyBorder="1" applyAlignment="1">
      <alignment horizontal="center" vertical="center"/>
    </xf>
    <xf numFmtId="169" fontId="26" fillId="6" borderId="24" xfId="0" applyNumberFormat="1" applyFont="1" applyFill="1" applyBorder="1" applyAlignment="1">
      <alignment horizontal="center" vertical="center" wrapText="1"/>
    </xf>
    <xf numFmtId="1" fontId="26" fillId="6" borderId="23" xfId="0" applyNumberFormat="1" applyFont="1" applyFill="1" applyBorder="1" applyAlignment="1">
      <alignment horizontal="center" vertical="center" wrapText="1"/>
    </xf>
    <xf numFmtId="1" fontId="9" fillId="6" borderId="24" xfId="0" applyNumberFormat="1" applyFont="1" applyFill="1" applyBorder="1" applyAlignment="1">
      <alignment horizontal="center" vertical="center" wrapText="1"/>
    </xf>
    <xf numFmtId="1" fontId="27" fillId="6" borderId="23" xfId="0" applyNumberFormat="1" applyFont="1" applyFill="1" applyBorder="1" applyAlignment="1">
      <alignment horizontal="center" vertical="center"/>
    </xf>
    <xf numFmtId="0" fontId="41" fillId="6" borderId="22" xfId="0" applyFont="1" applyFill="1" applyBorder="1" applyAlignment="1">
      <alignment horizontal="center" vertical="center"/>
    </xf>
    <xf numFmtId="0" fontId="41" fillId="6" borderId="24" xfId="0" applyFont="1" applyFill="1" applyBorder="1" applyAlignment="1">
      <alignment horizontal="center" vertical="center" wrapText="1"/>
    </xf>
    <xf numFmtId="0" fontId="42" fillId="6" borderId="24" xfId="0" applyFont="1" applyFill="1" applyBorder="1" applyAlignment="1">
      <alignment horizontal="center" vertical="center"/>
    </xf>
    <xf numFmtId="0" fontId="4" fillId="6" borderId="8" xfId="0" applyFont="1" applyFill="1" applyBorder="1" applyAlignment="1">
      <alignment horizontal="center" vertical="center"/>
    </xf>
    <xf numFmtId="0" fontId="4" fillId="7" borderId="33" xfId="0" applyFont="1" applyFill="1" applyBorder="1" applyAlignment="1">
      <alignment horizontal="center" vertical="center" wrapText="1"/>
    </xf>
    <xf numFmtId="0" fontId="34" fillId="7" borderId="33" xfId="0" applyFont="1" applyFill="1" applyBorder="1" applyAlignment="1">
      <alignment horizontal="center" vertical="center" wrapText="1"/>
    </xf>
    <xf numFmtId="0" fontId="34" fillId="7" borderId="8" xfId="0" applyFont="1" applyFill="1" applyBorder="1" applyAlignment="1">
      <alignment horizontal="center" vertical="center" wrapText="1"/>
    </xf>
    <xf numFmtId="0" fontId="42" fillId="6" borderId="24" xfId="0" applyFont="1" applyFill="1" applyBorder="1" applyAlignment="1">
      <alignment horizontal="center" vertical="center" wrapText="1"/>
    </xf>
    <xf numFmtId="0" fontId="42" fillId="6" borderId="42" xfId="0" applyFont="1" applyFill="1" applyBorder="1" applyAlignment="1">
      <alignment horizontal="center" vertical="center" wrapText="1"/>
    </xf>
    <xf numFmtId="164" fontId="9" fillId="6" borderId="8" xfId="0" applyNumberFormat="1" applyFont="1" applyFill="1" applyBorder="1" applyAlignment="1">
      <alignment vertical="center" wrapText="1"/>
    </xf>
    <xf numFmtId="164" fontId="9" fillId="6" borderId="34" xfId="0" applyNumberFormat="1" applyFont="1" applyFill="1" applyBorder="1" applyAlignment="1">
      <alignment vertical="center" wrapText="1"/>
    </xf>
    <xf numFmtId="164" fontId="9" fillId="6" borderId="8" xfId="0" applyNumberFormat="1" applyFont="1" applyFill="1" applyBorder="1" applyAlignment="1">
      <alignment vertical="center"/>
    </xf>
    <xf numFmtId="0" fontId="7" fillId="9" borderId="45" xfId="0" applyFont="1" applyFill="1" applyBorder="1" applyAlignment="1">
      <alignment horizontal="left" vertical="center"/>
    </xf>
    <xf numFmtId="0" fontId="15" fillId="9" borderId="46" xfId="0" applyFont="1" applyFill="1" applyBorder="1" applyAlignment="1">
      <alignment horizontal="left" vertical="center"/>
    </xf>
    <xf numFmtId="0" fontId="4" fillId="6" borderId="83" xfId="0" applyFont="1" applyFill="1" applyBorder="1"/>
    <xf numFmtId="0" fontId="4" fillId="10" borderId="81" xfId="0" applyFont="1" applyFill="1" applyBorder="1"/>
    <xf numFmtId="164" fontId="9" fillId="6" borderId="68" xfId="0" applyNumberFormat="1" applyFont="1" applyFill="1" applyBorder="1" applyAlignment="1">
      <alignment horizontal="center" vertical="center"/>
    </xf>
    <xf numFmtId="164" fontId="9" fillId="8" borderId="34" xfId="0" applyNumberFormat="1" applyFont="1" applyFill="1" applyBorder="1" applyAlignment="1">
      <alignment horizontal="center" vertical="center"/>
    </xf>
    <xf numFmtId="164" fontId="9" fillId="6" borderId="69" xfId="0" applyNumberFormat="1" applyFont="1" applyFill="1" applyBorder="1" applyAlignment="1">
      <alignment horizontal="center" vertical="center"/>
    </xf>
    <xf numFmtId="164" fontId="9" fillId="8" borderId="49" xfId="0" applyNumberFormat="1" applyFont="1" applyFill="1" applyBorder="1" applyAlignment="1">
      <alignment horizontal="center" vertical="center"/>
    </xf>
    <xf numFmtId="0" fontId="47" fillId="9" borderId="33" xfId="0" applyFont="1" applyFill="1" applyBorder="1" applyAlignment="1">
      <alignment horizontal="center" vertical="center" wrapText="1"/>
    </xf>
    <xf numFmtId="0" fontId="47" fillId="9" borderId="8" xfId="0" applyFont="1" applyFill="1" applyBorder="1" applyAlignment="1">
      <alignment horizontal="center" vertical="center" wrapText="1"/>
    </xf>
    <xf numFmtId="0" fontId="26" fillId="8" borderId="40" xfId="0" applyFont="1" applyFill="1" applyBorder="1" applyAlignment="1">
      <alignment horizontal="center" vertical="center" wrapText="1"/>
    </xf>
    <xf numFmtId="0" fontId="4" fillId="0" borderId="33" xfId="0" applyFont="1" applyBorder="1" applyAlignment="1">
      <alignment horizontal="center" vertical="center" wrapText="1"/>
    </xf>
    <xf numFmtId="0" fontId="9" fillId="0" borderId="35" xfId="0" applyFont="1" applyBorder="1" applyAlignment="1">
      <alignment horizontal="right" vertical="center" wrapText="1"/>
    </xf>
    <xf numFmtId="0" fontId="4" fillId="3" borderId="39" xfId="0" applyFont="1" applyFill="1" applyBorder="1" applyAlignment="1">
      <alignment horizontal="right" vertical="center" wrapText="1"/>
    </xf>
    <xf numFmtId="0" fontId="26" fillId="3" borderId="37" xfId="0" applyFont="1" applyFill="1" applyBorder="1" applyAlignment="1">
      <alignment horizontal="right" vertical="center" wrapText="1"/>
    </xf>
    <xf numFmtId="0" fontId="4" fillId="3" borderId="35" xfId="0" applyFont="1" applyFill="1" applyBorder="1" applyAlignment="1">
      <alignment horizontal="right" vertical="center" wrapText="1"/>
    </xf>
    <xf numFmtId="0" fontId="27" fillId="3" borderId="37" xfId="0" applyFont="1" applyFill="1" applyBorder="1" applyAlignment="1">
      <alignment horizontal="right" vertical="center" wrapText="1"/>
    </xf>
    <xf numFmtId="164" fontId="9" fillId="10" borderId="8" xfId="0" applyNumberFormat="1" applyFont="1" applyFill="1" applyBorder="1" applyAlignment="1">
      <alignment horizontal="right" vertical="center"/>
    </xf>
    <xf numFmtId="164" fontId="9" fillId="6" borderId="8" xfId="0" applyNumberFormat="1" applyFont="1" applyFill="1" applyBorder="1" applyAlignment="1">
      <alignment horizontal="right" vertical="center"/>
    </xf>
    <xf numFmtId="164" fontId="9" fillId="6" borderId="34" xfId="0" applyNumberFormat="1" applyFont="1" applyFill="1" applyBorder="1" applyAlignment="1">
      <alignment horizontal="right" vertical="center"/>
    </xf>
    <xf numFmtId="164" fontId="9" fillId="2" borderId="8" xfId="0" applyNumberFormat="1" applyFont="1" applyFill="1" applyBorder="1" applyAlignment="1">
      <alignment horizontal="right" vertical="center"/>
    </xf>
    <xf numFmtId="164" fontId="4" fillId="2" borderId="8" xfId="0" applyNumberFormat="1" applyFont="1" applyFill="1" applyBorder="1" applyAlignment="1">
      <alignment horizontal="right" vertical="center"/>
    </xf>
    <xf numFmtId="164" fontId="9" fillId="8" borderId="8" xfId="0" applyNumberFormat="1" applyFont="1" applyFill="1" applyBorder="1" applyAlignment="1">
      <alignment horizontal="right" vertical="center"/>
    </xf>
    <xf numFmtId="164" fontId="9" fillId="8" borderId="34" xfId="0" applyNumberFormat="1" applyFont="1" applyFill="1" applyBorder="1" applyAlignment="1">
      <alignment horizontal="right" vertical="center"/>
    </xf>
    <xf numFmtId="164" fontId="9" fillId="0" borderId="8" xfId="0" applyNumberFormat="1" applyFont="1" applyBorder="1" applyAlignment="1">
      <alignment horizontal="right" vertical="center"/>
    </xf>
    <xf numFmtId="164" fontId="9" fillId="0" borderId="34" xfId="0" applyNumberFormat="1" applyFont="1" applyBorder="1" applyAlignment="1">
      <alignment horizontal="right" vertical="center"/>
    </xf>
    <xf numFmtId="164" fontId="32" fillId="0" borderId="8" xfId="0" applyNumberFormat="1" applyFont="1" applyBorder="1" applyAlignment="1">
      <alignment horizontal="right" vertical="center"/>
    </xf>
    <xf numFmtId="164" fontId="32" fillId="0" borderId="34" xfId="0" applyNumberFormat="1" applyFont="1" applyBorder="1" applyAlignment="1">
      <alignment horizontal="right" vertical="center"/>
    </xf>
    <xf numFmtId="164" fontId="17" fillId="2" borderId="8" xfId="0" applyNumberFormat="1" applyFont="1" applyFill="1" applyBorder="1" applyAlignment="1">
      <alignment horizontal="right" vertical="center"/>
    </xf>
    <xf numFmtId="168" fontId="9" fillId="10" borderId="8" xfId="0" applyNumberFormat="1" applyFont="1" applyFill="1" applyBorder="1" applyAlignment="1">
      <alignment horizontal="right" vertical="center"/>
    </xf>
    <xf numFmtId="168" fontId="9" fillId="10" borderId="34" xfId="0" applyNumberFormat="1" applyFont="1" applyFill="1" applyBorder="1" applyAlignment="1">
      <alignment horizontal="right" vertical="center"/>
    </xf>
    <xf numFmtId="164" fontId="17" fillId="2" borderId="48" xfId="0" applyNumberFormat="1" applyFont="1" applyFill="1" applyBorder="1" applyAlignment="1">
      <alignment horizontal="right" vertical="center"/>
    </xf>
    <xf numFmtId="164" fontId="9" fillId="6" borderId="48" xfId="0" applyNumberFormat="1" applyFont="1" applyFill="1" applyBorder="1" applyAlignment="1">
      <alignment horizontal="right" vertical="center"/>
    </xf>
    <xf numFmtId="164" fontId="32" fillId="0" borderId="48" xfId="0" applyNumberFormat="1" applyFont="1" applyBorder="1" applyAlignment="1">
      <alignment horizontal="right" vertical="center"/>
    </xf>
    <xf numFmtId="164" fontId="32" fillId="0" borderId="49" xfId="0" applyNumberFormat="1" applyFont="1" applyBorder="1" applyAlignment="1">
      <alignment horizontal="right" vertical="center"/>
    </xf>
    <xf numFmtId="164" fontId="9" fillId="0" borderId="8" xfId="0" applyNumberFormat="1" applyFont="1" applyBorder="1" applyAlignment="1">
      <alignment horizontal="right" vertical="center" wrapText="1"/>
    </xf>
    <xf numFmtId="164" fontId="9" fillId="0" borderId="34" xfId="0" applyNumberFormat="1" applyFont="1" applyBorder="1" applyAlignment="1">
      <alignment horizontal="right" vertical="center" wrapText="1"/>
    </xf>
    <xf numFmtId="169" fontId="4" fillId="8" borderId="40" xfId="0" applyNumberFormat="1" applyFont="1" applyFill="1" applyBorder="1" applyAlignment="1">
      <alignment horizontal="center" vertical="center"/>
    </xf>
    <xf numFmtId="0" fontId="26" fillId="3" borderId="23" xfId="0" applyFont="1" applyFill="1" applyBorder="1" applyAlignment="1">
      <alignment horizontal="justify" vertical="center" wrapText="1"/>
    </xf>
    <xf numFmtId="172" fontId="9" fillId="8" borderId="40" xfId="0" applyNumberFormat="1" applyFont="1" applyFill="1" applyBorder="1" applyAlignment="1">
      <alignment horizontal="center" vertical="center" wrapText="1"/>
    </xf>
    <xf numFmtId="0" fontId="27" fillId="3" borderId="23" xfId="0" applyFont="1" applyFill="1" applyBorder="1" applyAlignment="1">
      <alignment horizontal="justify" vertical="center" wrapText="1"/>
    </xf>
    <xf numFmtId="0" fontId="44" fillId="0" borderId="0" xfId="0" applyFont="1" applyAlignment="1">
      <alignment vertical="center"/>
    </xf>
    <xf numFmtId="0" fontId="24" fillId="0" borderId="0" xfId="0" applyFont="1" applyAlignment="1">
      <alignment vertical="center"/>
    </xf>
    <xf numFmtId="0" fontId="14" fillId="0" borderId="0" xfId="0" applyFont="1" applyAlignment="1">
      <alignment vertical="center"/>
    </xf>
    <xf numFmtId="0" fontId="45" fillId="0" borderId="0" xfId="0" applyFont="1" applyAlignment="1">
      <alignment vertical="center"/>
    </xf>
    <xf numFmtId="0" fontId="4" fillId="0" borderId="0" xfId="0" applyFont="1" applyAlignment="1">
      <alignment horizontal="right" vertical="center"/>
    </xf>
    <xf numFmtId="173" fontId="9" fillId="6" borderId="33" xfId="0" applyNumberFormat="1" applyFont="1" applyFill="1" applyBorder="1" applyAlignment="1">
      <alignment horizontal="center" vertical="center"/>
    </xf>
    <xf numFmtId="173" fontId="9" fillId="8" borderId="84" xfId="0" applyNumberFormat="1" applyFont="1" applyFill="1" applyBorder="1" applyAlignment="1">
      <alignment horizontal="center" vertical="center"/>
    </xf>
    <xf numFmtId="0" fontId="4" fillId="3" borderId="28" xfId="0" applyFont="1" applyFill="1" applyBorder="1" applyAlignment="1">
      <alignment horizontal="right" vertical="center" wrapText="1"/>
    </xf>
    <xf numFmtId="0" fontId="26" fillId="3" borderId="18" xfId="0" applyFont="1" applyFill="1" applyBorder="1" applyAlignment="1">
      <alignment horizontal="right" vertical="center" wrapText="1"/>
    </xf>
    <xf numFmtId="174" fontId="9" fillId="0" borderId="8" xfId="0" applyNumberFormat="1" applyFont="1" applyBorder="1" applyAlignment="1">
      <alignment vertical="center"/>
    </xf>
    <xf numFmtId="174" fontId="9" fillId="0" borderId="34" xfId="0" applyNumberFormat="1" applyFont="1" applyBorder="1" applyAlignment="1">
      <alignment vertical="center"/>
    </xf>
    <xf numFmtId="0" fontId="5" fillId="0" borderId="0" xfId="1" applyFont="1" applyFill="1" applyBorder="1" applyAlignment="1" applyProtection="1">
      <alignment vertical="center"/>
    </xf>
    <xf numFmtId="0" fontId="6" fillId="0" borderId="0" xfId="0" applyFont="1" applyAlignment="1">
      <alignment vertical="center"/>
    </xf>
    <xf numFmtId="0" fontId="4" fillId="7" borderId="8" xfId="0" applyFont="1" applyFill="1" applyBorder="1" applyAlignment="1">
      <alignment horizontal="left" vertical="center" wrapText="1"/>
    </xf>
    <xf numFmtId="0" fontId="26" fillId="3" borderId="23" xfId="0" applyFont="1" applyFill="1" applyBorder="1" applyAlignment="1">
      <alignment vertical="center" wrapText="1"/>
    </xf>
    <xf numFmtId="0" fontId="4" fillId="3" borderId="27" xfId="0" applyFont="1" applyFill="1" applyBorder="1" applyAlignment="1">
      <alignment vertical="center" wrapText="1"/>
    </xf>
    <xf numFmtId="0" fontId="4" fillId="3" borderId="28" xfId="0" applyFont="1" applyFill="1" applyBorder="1" applyAlignment="1">
      <alignment vertical="center" wrapText="1"/>
    </xf>
    <xf numFmtId="0" fontId="4" fillId="3" borderId="15" xfId="0" applyFont="1" applyFill="1" applyBorder="1" applyAlignment="1">
      <alignment vertical="center" wrapText="1"/>
    </xf>
    <xf numFmtId="0" fontId="4" fillId="3" borderId="65" xfId="0" applyFont="1" applyFill="1" applyBorder="1" applyAlignment="1">
      <alignment vertical="center" wrapText="1"/>
    </xf>
    <xf numFmtId="0" fontId="4" fillId="3" borderId="66" xfId="0" applyFont="1" applyFill="1" applyBorder="1" applyAlignment="1">
      <alignment vertical="center" wrapText="1"/>
    </xf>
    <xf numFmtId="169" fontId="26" fillId="6" borderId="42" xfId="0" applyNumberFormat="1" applyFont="1" applyFill="1" applyBorder="1" applyAlignment="1">
      <alignment horizontal="center" vertical="center" wrapText="1"/>
    </xf>
    <xf numFmtId="0" fontId="27" fillId="8" borderId="67" xfId="0" applyFont="1" applyFill="1" applyBorder="1" applyAlignment="1">
      <alignment horizontal="center" vertical="center" wrapText="1"/>
    </xf>
    <xf numFmtId="0" fontId="24" fillId="0" borderId="0" xfId="0" applyFont="1" applyAlignment="1">
      <alignment vertical="center" wrapText="1"/>
    </xf>
    <xf numFmtId="0" fontId="28" fillId="0" borderId="0" xfId="0" applyFont="1" applyAlignment="1">
      <alignment horizontal="left" vertical="center" wrapText="1"/>
    </xf>
    <xf numFmtId="0" fontId="28" fillId="0" borderId="0" xfId="0" applyFont="1" applyAlignment="1">
      <alignment vertical="center"/>
    </xf>
    <xf numFmtId="0" fontId="4" fillId="0" borderId="0" xfId="0" quotePrefix="1" applyFont="1" applyAlignment="1">
      <alignment horizontal="right" vertical="center"/>
    </xf>
    <xf numFmtId="0" fontId="17" fillId="0" borderId="0" xfId="0" applyFont="1" applyAlignment="1">
      <alignment horizontal="right" vertical="center"/>
    </xf>
    <xf numFmtId="0" fontId="9" fillId="0" borderId="0" xfId="0" applyFont="1" applyAlignment="1">
      <alignment horizontal="right" vertical="center"/>
    </xf>
    <xf numFmtId="0" fontId="9" fillId="0" borderId="0" xfId="0" applyFont="1" applyAlignment="1">
      <alignment horizontal="right" vertical="center" wrapText="1"/>
    </xf>
    <xf numFmtId="164" fontId="4" fillId="0" borderId="20" xfId="0" applyNumberFormat="1" applyFont="1" applyBorder="1" applyAlignment="1">
      <alignment horizontal="center" vertical="center"/>
    </xf>
    <xf numFmtId="164" fontId="4" fillId="0" borderId="21" xfId="0" applyNumberFormat="1" applyFont="1" applyBorder="1" applyAlignment="1">
      <alignment horizontal="center" vertical="center"/>
    </xf>
    <xf numFmtId="164" fontId="4" fillId="0" borderId="5" xfId="0" applyNumberFormat="1" applyFont="1" applyBorder="1" applyAlignment="1">
      <alignment horizontal="center" vertical="center"/>
    </xf>
    <xf numFmtId="164" fontId="4" fillId="0" borderId="4" xfId="0" applyNumberFormat="1" applyFont="1" applyBorder="1" applyAlignment="1">
      <alignment horizontal="center" vertical="center"/>
    </xf>
    <xf numFmtId="168" fontId="4" fillId="0" borderId="0" xfId="0" applyNumberFormat="1" applyFont="1" applyAlignment="1">
      <alignment horizontal="center" vertical="center"/>
    </xf>
    <xf numFmtId="0" fontId="4" fillId="0" borderId="0" xfId="0" applyFont="1" applyAlignment="1">
      <alignment vertical="center" wrapText="1"/>
    </xf>
    <xf numFmtId="0" fontId="6" fillId="0" borderId="0" xfId="0" applyFont="1" applyAlignment="1">
      <alignment horizontal="left" vertical="center"/>
    </xf>
    <xf numFmtId="0" fontId="31" fillId="0" borderId="0" xfId="0" applyFont="1" applyAlignment="1">
      <alignment vertical="center"/>
    </xf>
    <xf numFmtId="1" fontId="31" fillId="0" borderId="0" xfId="0" applyNumberFormat="1" applyFont="1" applyAlignment="1">
      <alignment horizontal="center" vertical="center"/>
    </xf>
    <xf numFmtId="0" fontId="9" fillId="0" borderId="0" xfId="0" applyFont="1" applyAlignment="1">
      <alignment vertical="center"/>
    </xf>
    <xf numFmtId="0" fontId="19" fillId="0" borderId="0" xfId="0" applyFont="1" applyAlignment="1">
      <alignment vertical="center"/>
    </xf>
    <xf numFmtId="175" fontId="52" fillId="0" borderId="0" xfId="6" applyNumberFormat="1" applyFont="1" applyAlignment="1">
      <alignment horizontal="right" vertical="center" shrinkToFit="1"/>
    </xf>
    <xf numFmtId="170" fontId="52" fillId="0" borderId="0" xfId="6" applyNumberFormat="1" applyFont="1" applyAlignment="1">
      <alignment horizontal="right" vertical="center" shrinkToFit="1"/>
    </xf>
    <xf numFmtId="0" fontId="39" fillId="0" borderId="0" xfId="1" applyFont="1" applyFill="1" applyBorder="1" applyAlignment="1" applyProtection="1">
      <alignment horizontal="left" vertical="center"/>
    </xf>
    <xf numFmtId="0" fontId="4" fillId="0" borderId="8" xfId="0" applyFont="1" applyBorder="1" applyAlignment="1">
      <alignment vertical="center" wrapText="1"/>
    </xf>
    <xf numFmtId="0" fontId="55" fillId="0" borderId="89" xfId="0" applyFont="1" applyBorder="1" applyAlignment="1">
      <alignment vertical="center" wrapText="1"/>
    </xf>
    <xf numFmtId="0" fontId="26" fillId="0" borderId="8" xfId="0" applyFont="1" applyBorder="1" applyAlignment="1">
      <alignment horizontal="center" vertical="center" wrapText="1"/>
    </xf>
    <xf numFmtId="0" fontId="52" fillId="0" borderId="8" xfId="0" applyFont="1" applyBorder="1" applyAlignment="1">
      <alignment vertical="center" wrapText="1"/>
    </xf>
    <xf numFmtId="14" fontId="57" fillId="0" borderId="90" xfId="0" applyNumberFormat="1" applyFont="1" applyBorder="1" applyAlignment="1">
      <alignment horizontal="center" vertical="center" wrapText="1"/>
    </xf>
    <xf numFmtId="14" fontId="52" fillId="0" borderId="8" xfId="0" applyNumberFormat="1" applyFont="1" applyBorder="1" applyAlignment="1">
      <alignment horizontal="center" vertical="center" wrapText="1"/>
    </xf>
    <xf numFmtId="14" fontId="52" fillId="3" borderId="8" xfId="0" applyNumberFormat="1" applyFont="1" applyFill="1" applyBorder="1" applyAlignment="1">
      <alignment horizontal="center" vertical="center" wrapText="1"/>
    </xf>
    <xf numFmtId="14" fontId="58" fillId="0" borderId="8" xfId="0" applyNumberFormat="1" applyFont="1" applyBorder="1" applyAlignment="1">
      <alignment horizontal="center" vertical="center" wrapText="1"/>
    </xf>
    <xf numFmtId="0" fontId="59" fillId="3" borderId="24" xfId="0" applyFont="1" applyFill="1" applyBorder="1" applyAlignment="1">
      <alignment horizontal="right" vertical="top"/>
    </xf>
    <xf numFmtId="0" fontId="60" fillId="3" borderId="23" xfId="0" applyFont="1" applyFill="1" applyBorder="1" applyAlignment="1">
      <alignment horizontal="right" vertical="top"/>
    </xf>
    <xf numFmtId="0" fontId="41" fillId="3" borderId="24" xfId="0" applyFont="1" applyFill="1" applyBorder="1" applyAlignment="1">
      <alignment horizontal="right" vertical="center"/>
    </xf>
    <xf numFmtId="0" fontId="4" fillId="6" borderId="89" xfId="0" applyFont="1" applyFill="1" applyBorder="1" applyAlignment="1">
      <alignment horizontal="center" vertical="center" wrapText="1"/>
    </xf>
    <xf numFmtId="0" fontId="42" fillId="3" borderId="23" xfId="0" applyFont="1" applyFill="1" applyBorder="1" applyAlignment="1">
      <alignment horizontal="right" vertical="center"/>
    </xf>
    <xf numFmtId="0" fontId="41" fillId="3" borderId="24" xfId="0" applyFont="1" applyFill="1" applyBorder="1" applyAlignment="1">
      <alignment vertical="center"/>
    </xf>
    <xf numFmtId="0" fontId="9" fillId="11" borderId="90" xfId="0" applyFont="1" applyFill="1" applyBorder="1" applyAlignment="1">
      <alignment horizontal="center" vertical="center" wrapText="1"/>
    </xf>
    <xf numFmtId="0" fontId="9" fillId="12" borderId="90" xfId="0" applyFont="1" applyFill="1" applyBorder="1" applyAlignment="1">
      <alignment horizontal="center" vertical="center" wrapText="1"/>
    </xf>
    <xf numFmtId="0" fontId="9" fillId="13" borderId="90" xfId="0" applyFont="1" applyFill="1" applyBorder="1" applyAlignment="1">
      <alignment horizontal="center" vertical="center" wrapText="1"/>
    </xf>
    <xf numFmtId="0" fontId="42" fillId="3" borderId="23" xfId="0" applyFont="1" applyFill="1" applyBorder="1" applyAlignment="1">
      <alignment vertical="center"/>
    </xf>
    <xf numFmtId="0" fontId="41" fillId="3" borderId="22" xfId="0" applyFont="1" applyFill="1" applyBorder="1" applyAlignment="1">
      <alignment vertical="center"/>
    </xf>
    <xf numFmtId="0" fontId="4" fillId="3" borderId="17" xfId="0" applyFont="1" applyFill="1" applyBorder="1" applyAlignment="1">
      <alignment horizontal="center" vertical="center" wrapText="1"/>
    </xf>
    <xf numFmtId="0" fontId="9" fillId="11" borderId="17" xfId="0" applyFont="1" applyFill="1" applyBorder="1" applyAlignment="1">
      <alignment horizontal="center" vertical="center" wrapText="1"/>
    </xf>
    <xf numFmtId="0" fontId="61" fillId="11" borderId="17" xfId="0" applyFont="1" applyFill="1" applyBorder="1" applyAlignment="1">
      <alignment horizontal="center" vertical="center" wrapText="1"/>
    </xf>
    <xf numFmtId="0" fontId="62" fillId="11" borderId="27" xfId="0" applyFont="1" applyFill="1" applyBorder="1" applyAlignment="1">
      <alignment horizontal="center" vertical="center"/>
    </xf>
    <xf numFmtId="0" fontId="62" fillId="11" borderId="28" xfId="0" applyFont="1" applyFill="1" applyBorder="1" applyAlignment="1">
      <alignment horizontal="center" vertical="center"/>
    </xf>
    <xf numFmtId="0" fontId="63" fillId="12" borderId="14" xfId="0" applyFont="1" applyFill="1" applyBorder="1" applyAlignment="1">
      <alignment horizontal="center" vertical="center"/>
    </xf>
    <xf numFmtId="0" fontId="63" fillId="12" borderId="15" xfId="0" applyFont="1" applyFill="1" applyBorder="1" applyAlignment="1">
      <alignment horizontal="center" vertical="center"/>
    </xf>
    <xf numFmtId="0" fontId="4" fillId="13" borderId="14" xfId="0" applyFont="1" applyFill="1" applyBorder="1" applyAlignment="1">
      <alignment horizontal="center" vertical="center"/>
    </xf>
    <xf numFmtId="0" fontId="4" fillId="13" borderId="15" xfId="0" applyFont="1" applyFill="1" applyBorder="1" applyAlignment="1">
      <alignment horizontal="center" vertical="center"/>
    </xf>
    <xf numFmtId="0" fontId="4" fillId="7" borderId="18" xfId="0" applyFont="1" applyFill="1" applyBorder="1" applyAlignment="1">
      <alignment horizontal="center" vertical="center" wrapText="1"/>
    </xf>
    <xf numFmtId="0" fontId="4" fillId="7" borderId="23" xfId="0" applyFont="1" applyFill="1" applyBorder="1" applyAlignment="1">
      <alignment horizontal="center" vertical="center" wrapText="1"/>
    </xf>
    <xf numFmtId="0" fontId="35" fillId="0" borderId="14" xfId="0" applyFont="1" applyBorder="1" applyAlignment="1">
      <alignment horizontal="left" indent="2"/>
    </xf>
    <xf numFmtId="0" fontId="35" fillId="0" borderId="0" xfId="0" applyFont="1" applyAlignment="1">
      <alignment horizontal="left" indent="2"/>
    </xf>
    <xf numFmtId="0" fontId="36" fillId="0" borderId="15" xfId="0" applyFont="1" applyBorder="1"/>
    <xf numFmtId="0" fontId="33" fillId="0" borderId="0" xfId="1" applyFont="1" applyBorder="1" applyAlignment="1" applyProtection="1">
      <alignment horizontal="left" indent="2"/>
    </xf>
    <xf numFmtId="164" fontId="4" fillId="6" borderId="89" xfId="0" applyNumberFormat="1" applyFont="1" applyFill="1" applyBorder="1" applyAlignment="1">
      <alignment horizontal="center" vertical="center" wrapText="1"/>
    </xf>
    <xf numFmtId="164" fontId="4" fillId="8" borderId="89" xfId="0" applyNumberFormat="1" applyFont="1" applyFill="1" applyBorder="1" applyAlignment="1">
      <alignment horizontal="center" vertical="center" wrapText="1"/>
    </xf>
    <xf numFmtId="0" fontId="4" fillId="0" borderId="54" xfId="0" applyFont="1" applyBorder="1"/>
    <xf numFmtId="0" fontId="9" fillId="0" borderId="0" xfId="1" applyFont="1" applyBorder="1" applyAlignment="1" applyProtection="1">
      <alignment horizontal="justify" vertical="top" wrapText="1"/>
    </xf>
    <xf numFmtId="164" fontId="9" fillId="6" borderId="33" xfId="0" applyNumberFormat="1" applyFont="1" applyFill="1" applyBorder="1" applyAlignment="1">
      <alignment horizontal="center" vertical="center"/>
    </xf>
    <xf numFmtId="164" fontId="4" fillId="8" borderId="34" xfId="0" applyNumberFormat="1" applyFont="1" applyFill="1" applyBorder="1" applyAlignment="1">
      <alignment horizontal="center" vertical="center"/>
    </xf>
    <xf numFmtId="164" fontId="4" fillId="6" borderId="33" xfId="0" applyNumberFormat="1" applyFont="1" applyFill="1" applyBorder="1" applyAlignment="1">
      <alignment horizontal="center" vertical="center"/>
    </xf>
    <xf numFmtId="164" fontId="4" fillId="0" borderId="33" xfId="0" applyNumberFormat="1" applyFont="1" applyBorder="1" applyAlignment="1">
      <alignment horizontal="center" vertical="center"/>
    </xf>
    <xf numFmtId="164" fontId="4" fillId="0" borderId="34" xfId="0" applyNumberFormat="1" applyFont="1" applyBorder="1" applyAlignment="1">
      <alignment horizontal="center" vertical="center"/>
    </xf>
    <xf numFmtId="164" fontId="4" fillId="0" borderId="47" xfId="0" applyNumberFormat="1" applyFont="1" applyBorder="1" applyAlignment="1">
      <alignment horizontal="center" vertical="center"/>
    </xf>
    <xf numFmtId="164" fontId="4" fillId="0" borderId="49" xfId="0" applyNumberFormat="1" applyFont="1" applyBorder="1" applyAlignment="1">
      <alignment horizontal="center" vertical="center"/>
    </xf>
    <xf numFmtId="164" fontId="9" fillId="14" borderId="8" xfId="0" applyNumberFormat="1" applyFont="1" applyFill="1" applyBorder="1" applyAlignment="1">
      <alignment vertical="center" wrapText="1"/>
    </xf>
    <xf numFmtId="164" fontId="9" fillId="14" borderId="34" xfId="0" applyNumberFormat="1" applyFont="1" applyFill="1" applyBorder="1" applyAlignment="1">
      <alignment vertical="center" wrapText="1"/>
    </xf>
    <xf numFmtId="164" fontId="9" fillId="3" borderId="8" xfId="0" applyNumberFormat="1" applyFont="1" applyFill="1" applyBorder="1" applyAlignment="1">
      <alignment vertical="center" wrapText="1"/>
    </xf>
    <xf numFmtId="164" fontId="9" fillId="3" borderId="8" xfId="0" applyNumberFormat="1" applyFont="1" applyFill="1" applyBorder="1" applyAlignment="1">
      <alignment vertical="center"/>
    </xf>
    <xf numFmtId="164" fontId="9" fillId="3" borderId="34" xfId="0" applyNumberFormat="1" applyFont="1" applyFill="1" applyBorder="1" applyAlignment="1">
      <alignment vertical="center" wrapText="1"/>
    </xf>
    <xf numFmtId="14" fontId="58" fillId="0" borderId="8" xfId="0" quotePrefix="1" applyNumberFormat="1" applyFont="1" applyBorder="1" applyAlignment="1">
      <alignment horizontal="center" vertical="center" wrapText="1"/>
    </xf>
    <xf numFmtId="0" fontId="9" fillId="11" borderId="27" xfId="0" applyFont="1" applyFill="1" applyBorder="1" applyAlignment="1">
      <alignment horizontal="center" vertical="center" wrapText="1"/>
    </xf>
    <xf numFmtId="0" fontId="9" fillId="0" borderId="90" xfId="0" applyFont="1" applyBorder="1" applyAlignment="1">
      <alignment horizontal="center" vertical="center" wrapText="1"/>
    </xf>
    <xf numFmtId="0" fontId="9" fillId="12" borderId="14" xfId="0" applyFont="1" applyFill="1" applyBorder="1" applyAlignment="1">
      <alignment horizontal="center" vertical="center" wrapText="1"/>
    </xf>
    <xf numFmtId="0" fontId="9" fillId="13" borderId="14"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6" borderId="87" xfId="0" applyFont="1" applyFill="1" applyBorder="1" applyAlignment="1">
      <alignment horizontal="center" vertical="center" wrapText="1"/>
    </xf>
    <xf numFmtId="164" fontId="32" fillId="15" borderId="8" xfId="0" applyNumberFormat="1" applyFont="1" applyFill="1" applyBorder="1" applyAlignment="1">
      <alignment horizontal="right" vertical="center"/>
    </xf>
    <xf numFmtId="0" fontId="9" fillId="11" borderId="0" xfId="0" applyFont="1" applyFill="1" applyAlignment="1">
      <alignment horizontal="center" vertical="center" wrapText="1"/>
    </xf>
    <xf numFmtId="0" fontId="9" fillId="12" borderId="0" xfId="0" applyFont="1" applyFill="1" applyAlignment="1">
      <alignment horizontal="center" vertical="center" wrapText="1"/>
    </xf>
    <xf numFmtId="0" fontId="9" fillId="13" borderId="0" xfId="0" applyFont="1" applyFill="1" applyAlignment="1">
      <alignment horizontal="center" vertical="center" wrapText="1"/>
    </xf>
    <xf numFmtId="0" fontId="9" fillId="0" borderId="0" xfId="0" applyFont="1" applyAlignment="1">
      <alignment horizontal="center" vertical="center" wrapText="1"/>
    </xf>
    <xf numFmtId="0" fontId="9" fillId="3" borderId="0" xfId="0" applyFont="1" applyFill="1" applyAlignment="1">
      <alignment horizontal="center" vertical="center" wrapText="1"/>
    </xf>
    <xf numFmtId="0" fontId="61" fillId="11" borderId="0" xfId="0" applyFont="1" applyFill="1" applyAlignment="1">
      <alignment horizontal="center" vertical="center" wrapText="1"/>
    </xf>
    <xf numFmtId="164" fontId="4" fillId="8" borderId="28" xfId="0" applyNumberFormat="1" applyFont="1" applyFill="1" applyBorder="1" applyAlignment="1">
      <alignment horizontal="center" vertical="center" wrapText="1"/>
    </xf>
    <xf numFmtId="0" fontId="4" fillId="8" borderId="28" xfId="0" applyFont="1" applyFill="1" applyBorder="1" applyAlignment="1">
      <alignment horizontal="center" vertical="center" wrapText="1"/>
    </xf>
    <xf numFmtId="0" fontId="4" fillId="8" borderId="87" xfId="0" applyFont="1" applyFill="1" applyBorder="1" applyAlignment="1">
      <alignment horizontal="center" vertical="center" wrapText="1"/>
    </xf>
    <xf numFmtId="164" fontId="9" fillId="16" borderId="8" xfId="0" applyNumberFormat="1" applyFont="1" applyFill="1" applyBorder="1" applyAlignment="1">
      <alignment horizontal="right" vertical="center"/>
    </xf>
    <xf numFmtId="165" fontId="9" fillId="3" borderId="8" xfId="0" applyNumberFormat="1" applyFont="1" applyFill="1" applyBorder="1" applyAlignment="1">
      <alignment horizontal="center" vertical="center"/>
    </xf>
    <xf numFmtId="0" fontId="4" fillId="13" borderId="90" xfId="0" applyFont="1" applyFill="1" applyBorder="1"/>
    <xf numFmtId="0" fontId="4" fillId="13" borderId="0" xfId="0" applyFont="1" applyFill="1"/>
    <xf numFmtId="0" fontId="4" fillId="11" borderId="0" xfId="0" applyFont="1" applyFill="1"/>
    <xf numFmtId="0" fontId="4" fillId="11" borderId="17" xfId="0" applyFont="1" applyFill="1" applyBorder="1"/>
    <xf numFmtId="166" fontId="5" fillId="0" borderId="0" xfId="1" applyNumberFormat="1" applyFont="1" applyFill="1" applyBorder="1" applyAlignment="1" applyProtection="1">
      <alignment horizontal="left"/>
    </xf>
    <xf numFmtId="0" fontId="4" fillId="3" borderId="27" xfId="0" applyFont="1" applyFill="1" applyBorder="1" applyAlignment="1">
      <alignment horizontal="center" vertical="center" wrapText="1"/>
    </xf>
    <xf numFmtId="0" fontId="26" fillId="3" borderId="16" xfId="0" applyFont="1" applyFill="1" applyBorder="1" applyAlignment="1">
      <alignment horizontal="center" vertical="center" wrapText="1"/>
    </xf>
    <xf numFmtId="0" fontId="1" fillId="0" borderId="0" xfId="0" applyFont="1"/>
    <xf numFmtId="0" fontId="34" fillId="4" borderId="9" xfId="0" applyFont="1" applyFill="1" applyBorder="1" applyAlignment="1">
      <alignment horizontal="center"/>
    </xf>
    <xf numFmtId="0" fontId="34" fillId="4" borderId="10" xfId="0" applyFont="1" applyFill="1" applyBorder="1" applyAlignment="1">
      <alignment horizontal="center"/>
    </xf>
    <xf numFmtId="0" fontId="34" fillId="4" borderId="11" xfId="0" applyFont="1" applyFill="1" applyBorder="1" applyAlignment="1">
      <alignment horizontal="center"/>
    </xf>
    <xf numFmtId="0" fontId="35" fillId="5" borderId="14" xfId="0" applyFont="1" applyFill="1" applyBorder="1" applyAlignment="1">
      <alignment horizontal="center" vertical="center" wrapText="1"/>
    </xf>
    <xf numFmtId="0" fontId="35" fillId="5" borderId="0" xfId="0" applyFont="1" applyFill="1" applyAlignment="1">
      <alignment horizontal="center" vertical="center" wrapText="1"/>
    </xf>
    <xf numFmtId="0" fontId="34" fillId="0" borderId="14" xfId="0" applyFont="1" applyBorder="1" applyAlignment="1">
      <alignment horizontal="center"/>
    </xf>
    <xf numFmtId="0" fontId="34" fillId="0" borderId="0" xfId="0" applyFont="1" applyAlignment="1">
      <alignment horizontal="center"/>
    </xf>
    <xf numFmtId="0" fontId="35" fillId="5" borderId="14" xfId="0" applyFont="1" applyFill="1" applyBorder="1" applyAlignment="1">
      <alignment horizontal="left" indent="2"/>
    </xf>
    <xf numFmtId="0" fontId="35" fillId="5" borderId="0" xfId="0" applyFont="1" applyFill="1" applyAlignment="1">
      <alignment horizontal="left" indent="2"/>
    </xf>
    <xf numFmtId="0" fontId="41" fillId="7" borderId="59" xfId="0" applyFont="1" applyFill="1" applyBorder="1" applyAlignment="1">
      <alignment horizontal="right" vertical="center" wrapText="1"/>
    </xf>
    <xf numFmtId="0" fontId="41" fillId="7" borderId="6" xfId="0" applyFont="1" applyFill="1" applyBorder="1" applyAlignment="1">
      <alignment horizontal="right" vertical="center" wrapText="1"/>
    </xf>
    <xf numFmtId="0" fontId="41" fillId="7" borderId="60" xfId="0" applyFont="1" applyFill="1" applyBorder="1" applyAlignment="1">
      <alignment horizontal="right" vertical="center" wrapText="1"/>
    </xf>
    <xf numFmtId="0" fontId="4" fillId="3" borderId="55" xfId="0" applyFont="1" applyFill="1" applyBorder="1" applyAlignment="1">
      <alignment horizontal="right" vertical="center" wrapText="1"/>
    </xf>
    <xf numFmtId="0" fontId="4" fillId="3" borderId="56" xfId="0" applyFont="1" applyFill="1" applyBorder="1" applyAlignment="1">
      <alignment horizontal="right" vertical="center" wrapText="1"/>
    </xf>
    <xf numFmtId="0" fontId="41" fillId="7" borderId="50" xfId="0" applyFont="1" applyFill="1" applyBorder="1" applyAlignment="1">
      <alignment horizontal="left" vertical="center" wrapText="1"/>
    </xf>
    <xf numFmtId="0" fontId="41" fillId="7" borderId="51" xfId="0" applyFont="1" applyFill="1" applyBorder="1" applyAlignment="1">
      <alignment horizontal="left" vertical="center" wrapText="1"/>
    </xf>
    <xf numFmtId="0" fontId="41" fillId="7" borderId="52" xfId="0" applyFont="1" applyFill="1" applyBorder="1" applyAlignment="1">
      <alignment horizontal="left" vertical="center" wrapText="1"/>
    </xf>
    <xf numFmtId="0" fontId="41" fillId="7" borderId="53" xfId="0" applyFont="1" applyFill="1" applyBorder="1" applyAlignment="1">
      <alignment horizontal="right" vertical="center" wrapText="1"/>
    </xf>
    <xf numFmtId="0" fontId="41" fillId="7" borderId="0" xfId="0" applyFont="1" applyFill="1" applyAlignment="1">
      <alignment horizontal="right" vertical="center" wrapText="1"/>
    </xf>
    <xf numFmtId="0" fontId="41" fillId="7" borderId="54" xfId="0" applyFont="1" applyFill="1" applyBorder="1" applyAlignment="1">
      <alignment horizontal="right" vertical="center" wrapText="1"/>
    </xf>
    <xf numFmtId="0" fontId="4" fillId="0" borderId="8" xfId="0" applyFont="1" applyBorder="1" applyAlignment="1">
      <alignment horizontal="center" vertical="center" wrapText="1"/>
    </xf>
    <xf numFmtId="0" fontId="4" fillId="0" borderId="34" xfId="0" applyFont="1" applyBorder="1" applyAlignment="1">
      <alignment horizontal="center" vertical="center" wrapText="1"/>
    </xf>
    <xf numFmtId="0" fontId="26" fillId="3" borderId="57" xfId="0" applyFont="1" applyFill="1" applyBorder="1" applyAlignment="1">
      <alignment horizontal="right" vertical="center" wrapText="1"/>
    </xf>
    <xf numFmtId="0" fontId="26" fillId="3" borderId="58" xfId="0" applyFont="1" applyFill="1" applyBorder="1" applyAlignment="1">
      <alignment horizontal="right" vertical="center" wrapText="1"/>
    </xf>
    <xf numFmtId="0" fontId="9" fillId="3" borderId="22"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23" xfId="0" applyFont="1" applyFill="1" applyBorder="1" applyAlignment="1">
      <alignment horizontal="center" vertical="center" wrapText="1"/>
    </xf>
    <xf numFmtId="0" fontId="9" fillId="3" borderId="38" xfId="0" applyFont="1" applyFill="1" applyBorder="1" applyAlignment="1">
      <alignment horizontal="center" vertical="center" wrapText="1"/>
    </xf>
    <xf numFmtId="0" fontId="4" fillId="6" borderId="78" xfId="0" applyFont="1" applyFill="1" applyBorder="1" applyAlignment="1">
      <alignment horizontal="center" vertical="center" wrapText="1"/>
    </xf>
    <xf numFmtId="0" fontId="4" fillId="6" borderId="79" xfId="0" applyFont="1" applyFill="1" applyBorder="1" applyAlignment="1">
      <alignment horizontal="center" vertical="center" wrapText="1"/>
    </xf>
    <xf numFmtId="0" fontId="4" fillId="8" borderId="69" xfId="0" applyFont="1" applyFill="1" applyBorder="1" applyAlignment="1">
      <alignment horizontal="center" vertical="center" wrapText="1"/>
    </xf>
    <xf numFmtId="0" fontId="4" fillId="8" borderId="80" xfId="0" applyFont="1" applyFill="1" applyBorder="1" applyAlignment="1">
      <alignment horizontal="center" vertical="center" wrapText="1"/>
    </xf>
    <xf numFmtId="0" fontId="4" fillId="3" borderId="33" xfId="0" applyFont="1" applyFill="1" applyBorder="1" applyAlignment="1">
      <alignment horizontal="right" vertical="center" wrapText="1"/>
    </xf>
    <xf numFmtId="0" fontId="4" fillId="3" borderId="35" xfId="0" applyFont="1" applyFill="1" applyBorder="1" applyAlignment="1">
      <alignment horizontal="right" vertical="center" wrapText="1"/>
    </xf>
    <xf numFmtId="0" fontId="26" fillId="3" borderId="39" xfId="0" applyFont="1" applyFill="1" applyBorder="1" applyAlignment="1">
      <alignment horizontal="right" vertical="center" wrapText="1"/>
    </xf>
    <xf numFmtId="0" fontId="26" fillId="3" borderId="37" xfId="0" applyFont="1" applyFill="1" applyBorder="1" applyAlignment="1">
      <alignment horizontal="right" vertical="center" wrapText="1"/>
    </xf>
    <xf numFmtId="0" fontId="4" fillId="3" borderId="39" xfId="0" applyFont="1" applyFill="1" applyBorder="1" applyAlignment="1">
      <alignment horizontal="right" vertical="center" wrapText="1"/>
    </xf>
    <xf numFmtId="0" fontId="9" fillId="0" borderId="8" xfId="0" applyFont="1" applyBorder="1" applyAlignment="1">
      <alignment horizontal="left" vertical="center"/>
    </xf>
    <xf numFmtId="0" fontId="26" fillId="0" borderId="53" xfId="0" applyFont="1" applyBorder="1" applyAlignment="1">
      <alignment horizontal="left"/>
    </xf>
    <xf numFmtId="0" fontId="26" fillId="0" borderId="0" xfId="0" applyFont="1" applyAlignment="1">
      <alignment horizontal="left"/>
    </xf>
    <xf numFmtId="0" fontId="9" fillId="0" borderId="33" xfId="0" applyFont="1" applyBorder="1" applyAlignment="1">
      <alignment vertical="center" wrapText="1"/>
    </xf>
    <xf numFmtId="0" fontId="9" fillId="0" borderId="33" xfId="0" applyFont="1" applyBorder="1" applyAlignment="1">
      <alignment vertical="center"/>
    </xf>
    <xf numFmtId="0" fontId="4" fillId="0" borderId="33" xfId="0" applyFont="1" applyBorder="1" applyAlignment="1">
      <alignment vertical="center" wrapText="1"/>
    </xf>
    <xf numFmtId="0" fontId="4" fillId="0" borderId="33" xfId="0" applyFont="1" applyBorder="1" applyAlignment="1">
      <alignment vertical="center"/>
    </xf>
    <xf numFmtId="0" fontId="26" fillId="0" borderId="0" xfId="0" applyFont="1" applyAlignment="1">
      <alignment horizontal="left" wrapText="1"/>
    </xf>
    <xf numFmtId="0" fontId="4" fillId="0" borderId="33" xfId="0" applyFont="1" applyBorder="1" applyAlignment="1">
      <alignment horizontal="center" vertical="center" wrapText="1"/>
    </xf>
    <xf numFmtId="0" fontId="9" fillId="0" borderId="8" xfId="0" applyFont="1" applyBorder="1" applyAlignment="1">
      <alignment horizontal="center" vertical="center" wrapText="1"/>
    </xf>
    <xf numFmtId="0" fontId="4" fillId="0" borderId="8" xfId="0" applyFont="1" applyBorder="1" applyAlignment="1">
      <alignment horizontal="left" vertical="center"/>
    </xf>
    <xf numFmtId="0" fontId="41" fillId="9" borderId="53" xfId="0" applyFont="1" applyFill="1" applyBorder="1" applyAlignment="1">
      <alignment horizontal="center" vertical="center" wrapText="1"/>
    </xf>
    <xf numFmtId="0" fontId="41" fillId="9" borderId="0" xfId="0" applyFont="1" applyFill="1" applyAlignment="1">
      <alignment horizontal="center" vertical="center" wrapText="1"/>
    </xf>
    <xf numFmtId="0" fontId="9" fillId="0" borderId="16"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8" xfId="0" applyFont="1" applyBorder="1" applyAlignment="1">
      <alignment horizontal="center" vertical="center" wrapText="1"/>
    </xf>
    <xf numFmtId="0" fontId="27" fillId="0" borderId="16" xfId="0" applyFont="1" applyBorder="1" applyAlignment="1">
      <alignment horizontal="center" vertical="center" wrapText="1"/>
    </xf>
    <xf numFmtId="0" fontId="27" fillId="0" borderId="17" xfId="0" applyFont="1" applyBorder="1" applyAlignment="1">
      <alignment horizontal="center" vertical="center" wrapText="1"/>
    </xf>
    <xf numFmtId="0" fontId="29" fillId="0" borderId="53" xfId="0" applyFont="1" applyBorder="1" applyAlignment="1">
      <alignment horizontal="left"/>
    </xf>
    <xf numFmtId="0" fontId="29" fillId="0" borderId="0" xfId="0" applyFont="1" applyAlignment="1">
      <alignment horizontal="left"/>
    </xf>
    <xf numFmtId="0" fontId="4" fillId="0" borderId="0" xfId="0" applyFont="1" applyAlignment="1">
      <alignment horizontal="left" vertical="center"/>
    </xf>
    <xf numFmtId="0" fontId="4" fillId="8" borderId="8" xfId="0" applyFont="1" applyFill="1" applyBorder="1" applyAlignment="1">
      <alignment horizontal="center" vertical="center" wrapText="1"/>
    </xf>
    <xf numFmtId="0" fontId="4" fillId="8" borderId="34" xfId="0" applyFont="1" applyFill="1" applyBorder="1" applyAlignment="1">
      <alignment horizontal="center" vertical="center" wrapText="1"/>
    </xf>
    <xf numFmtId="0" fontId="9" fillId="0" borderId="8" xfId="0" applyFont="1" applyBorder="1" applyAlignment="1">
      <alignment horizontal="left" vertical="center" wrapText="1"/>
    </xf>
    <xf numFmtId="0" fontId="9" fillId="0" borderId="33" xfId="0" applyFont="1" applyBorder="1" applyAlignment="1">
      <alignment horizontal="left" vertical="center" wrapText="1"/>
    </xf>
    <xf numFmtId="0" fontId="9" fillId="0" borderId="33" xfId="0" applyFont="1" applyBorder="1" applyAlignment="1">
      <alignment horizontal="left" vertical="center"/>
    </xf>
    <xf numFmtId="0" fontId="41" fillId="9" borderId="44" xfId="0" applyFont="1" applyFill="1" applyBorder="1" applyAlignment="1">
      <alignment horizontal="left" vertical="center" wrapText="1"/>
    </xf>
    <xf numFmtId="0" fontId="41" fillId="9" borderId="45" xfId="0" applyFont="1" applyFill="1" applyBorder="1" applyAlignment="1">
      <alignment horizontal="left" vertical="center" wrapText="1"/>
    </xf>
    <xf numFmtId="0" fontId="4" fillId="0" borderId="33" xfId="0" applyFont="1" applyBorder="1" applyAlignment="1">
      <alignment horizontal="center" vertical="center"/>
    </xf>
    <xf numFmtId="0" fontId="4" fillId="6" borderId="8" xfId="0" applyFont="1" applyFill="1" applyBorder="1" applyAlignment="1">
      <alignment horizontal="center" vertical="center" wrapText="1"/>
    </xf>
    <xf numFmtId="0" fontId="26" fillId="0" borderId="53" xfId="0" applyFont="1" applyBorder="1" applyAlignment="1">
      <alignment horizontal="left" wrapText="1"/>
    </xf>
    <xf numFmtId="0" fontId="44" fillId="0" borderId="0" xfId="0" applyFont="1" applyAlignment="1">
      <alignment horizontal="left" vertical="center" wrapText="1"/>
    </xf>
    <xf numFmtId="0" fontId="4" fillId="0" borderId="50" xfId="0" applyFont="1" applyBorder="1" applyAlignment="1">
      <alignment horizontal="center" vertical="center"/>
    </xf>
    <xf numFmtId="0" fontId="4" fillId="0" borderId="52" xfId="0" applyFont="1" applyBorder="1" applyAlignment="1">
      <alignment horizontal="center" vertical="center"/>
    </xf>
    <xf numFmtId="173" fontId="9" fillId="0" borderId="74" xfId="0" applyNumberFormat="1" applyFont="1" applyBorder="1" applyAlignment="1">
      <alignment horizontal="center" vertical="center"/>
    </xf>
    <xf numFmtId="173" fontId="9" fillId="0" borderId="75" xfId="0" applyNumberFormat="1" applyFont="1" applyBorder="1" applyAlignment="1">
      <alignment horizontal="center" vertical="center"/>
    </xf>
    <xf numFmtId="0" fontId="4" fillId="3" borderId="22" xfId="0" applyFont="1" applyFill="1" applyBorder="1" applyAlignment="1">
      <alignment horizontal="center" vertical="center" wrapText="1"/>
    </xf>
    <xf numFmtId="0" fontId="4" fillId="3" borderId="36" xfId="0" applyFont="1" applyFill="1" applyBorder="1" applyAlignment="1">
      <alignment horizontal="center" vertical="center" wrapText="1"/>
    </xf>
    <xf numFmtId="173" fontId="4" fillId="0" borderId="76" xfId="0" applyNumberFormat="1" applyFont="1" applyBorder="1" applyAlignment="1">
      <alignment horizontal="center" vertical="center"/>
    </xf>
    <xf numFmtId="173" fontId="4" fillId="0" borderId="77" xfId="0" applyNumberFormat="1" applyFont="1" applyBorder="1" applyAlignment="1">
      <alignment horizontal="center" vertical="center"/>
    </xf>
    <xf numFmtId="0" fontId="41" fillId="3" borderId="22" xfId="0" applyFont="1" applyFill="1" applyBorder="1" applyAlignment="1">
      <alignment horizontal="justify" vertical="center" wrapText="1"/>
    </xf>
    <xf numFmtId="0" fontId="41" fillId="3" borderId="24" xfId="0" applyFont="1" applyFill="1" applyBorder="1" applyAlignment="1">
      <alignment horizontal="justify" vertical="center"/>
    </xf>
    <xf numFmtId="0" fontId="9" fillId="0" borderId="22" xfId="0" applyFont="1" applyBorder="1" applyAlignment="1">
      <alignment horizontal="center" vertical="center" wrapText="1"/>
    </xf>
    <xf numFmtId="0" fontId="9" fillId="0" borderId="24" xfId="0" applyFont="1" applyBorder="1" applyAlignment="1">
      <alignment horizontal="center" vertical="center" wrapText="1"/>
    </xf>
    <xf numFmtId="0" fontId="9" fillId="0" borderId="42" xfId="0" applyFont="1" applyBorder="1" applyAlignment="1">
      <alignment horizontal="center" vertical="center" wrapText="1"/>
    </xf>
    <xf numFmtId="0" fontId="4" fillId="3" borderId="22" xfId="0" applyFont="1" applyFill="1" applyBorder="1" applyAlignment="1">
      <alignment horizontal="justify" vertical="center" wrapText="1"/>
    </xf>
    <xf numFmtId="0" fontId="4" fillId="3" borderId="24" xfId="0" applyFont="1" applyFill="1" applyBorder="1" applyAlignment="1">
      <alignment horizontal="justify" vertical="center" wrapText="1"/>
    </xf>
    <xf numFmtId="0" fontId="4" fillId="0" borderId="22"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3" xfId="0" applyFont="1" applyBorder="1" applyAlignment="1">
      <alignment horizontal="center" vertical="center" wrapText="1"/>
    </xf>
    <xf numFmtId="0" fontId="26" fillId="3" borderId="23" xfId="0" applyFont="1" applyFill="1" applyBorder="1" applyAlignment="1">
      <alignment horizontal="center" vertical="center" wrapText="1"/>
    </xf>
    <xf numFmtId="0" fontId="26" fillId="3" borderId="38" xfId="0" applyFont="1" applyFill="1" applyBorder="1" applyAlignment="1">
      <alignment horizontal="center" vertical="center" wrapText="1"/>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5" fillId="0" borderId="7" xfId="0" applyFont="1" applyBorder="1" applyAlignment="1">
      <alignment horizontal="left" vertical="center" wrapText="1"/>
    </xf>
    <xf numFmtId="0" fontId="34" fillId="0" borderId="35" xfId="0" applyFont="1" applyBorder="1" applyAlignment="1">
      <alignment horizontal="center" vertical="top"/>
    </xf>
    <xf numFmtId="0" fontId="34" fillId="0" borderId="39" xfId="0" applyFont="1" applyBorder="1" applyAlignment="1">
      <alignment horizontal="center" vertical="top"/>
    </xf>
    <xf numFmtId="0" fontId="34" fillId="0" borderId="37" xfId="0" applyFont="1" applyBorder="1" applyAlignment="1">
      <alignment horizontal="center" vertical="top"/>
    </xf>
    <xf numFmtId="0" fontId="39" fillId="0" borderId="0" xfId="1" applyFont="1" applyFill="1" applyBorder="1" applyAlignment="1" applyProtection="1">
      <alignment horizontal="left" vertical="center"/>
    </xf>
    <xf numFmtId="0" fontId="41" fillId="7" borderId="30" xfId="0" applyFont="1" applyFill="1" applyBorder="1" applyAlignment="1">
      <alignment horizontal="left" vertical="center" wrapText="1"/>
    </xf>
    <xf numFmtId="0" fontId="41" fillId="7" borderId="31" xfId="0" applyFont="1" applyFill="1" applyBorder="1" applyAlignment="1">
      <alignment horizontal="left" vertical="center"/>
    </xf>
    <xf numFmtId="0" fontId="41" fillId="7" borderId="32" xfId="0" applyFont="1" applyFill="1" applyBorder="1" applyAlignment="1">
      <alignment horizontal="left" vertical="center"/>
    </xf>
    <xf numFmtId="0" fontId="9" fillId="7" borderId="8" xfId="0" applyFont="1" applyFill="1" applyBorder="1" applyAlignment="1">
      <alignment horizontal="center" vertical="center" wrapText="1"/>
    </xf>
    <xf numFmtId="0" fontId="9" fillId="7" borderId="34" xfId="0" applyFont="1" applyFill="1" applyBorder="1" applyAlignment="1">
      <alignment horizontal="center" vertical="center"/>
    </xf>
    <xf numFmtId="0" fontId="4" fillId="0" borderId="33" xfId="0" applyFont="1" applyBorder="1" applyAlignment="1">
      <alignment horizontal="right" vertical="center" wrapText="1"/>
    </xf>
    <xf numFmtId="0" fontId="4" fillId="0" borderId="8" xfId="0" applyFont="1" applyBorder="1" applyAlignment="1">
      <alignment horizontal="right" vertical="center" wrapText="1"/>
    </xf>
    <xf numFmtId="0" fontId="4" fillId="0" borderId="85" xfId="0" applyFont="1" applyBorder="1" applyAlignment="1">
      <alignment horizontal="center" vertical="center"/>
    </xf>
    <xf numFmtId="0" fontId="4" fillId="0" borderId="86" xfId="0" applyFont="1" applyBorder="1" applyAlignment="1">
      <alignment horizontal="center" vertical="center"/>
    </xf>
    <xf numFmtId="0" fontId="34" fillId="0" borderId="41" xfId="0" applyFont="1" applyBorder="1" applyAlignment="1">
      <alignment horizontal="center" vertical="top"/>
    </xf>
    <xf numFmtId="0" fontId="9" fillId="3" borderId="22" xfId="0" applyFont="1" applyFill="1" applyBorder="1" applyAlignment="1">
      <alignment horizontal="justify" vertical="center" wrapText="1"/>
    </xf>
    <xf numFmtId="0" fontId="9" fillId="3" borderId="24" xfId="0" applyFont="1" applyFill="1" applyBorder="1" applyAlignment="1">
      <alignment horizontal="justify" vertical="center" wrapText="1"/>
    </xf>
    <xf numFmtId="0" fontId="9" fillId="0" borderId="23" xfId="0" applyFont="1" applyBorder="1" applyAlignment="1">
      <alignment horizontal="center" vertical="center" wrapText="1"/>
    </xf>
    <xf numFmtId="0" fontId="42" fillId="3" borderId="24" xfId="0" applyFont="1" applyFill="1" applyBorder="1" applyAlignment="1">
      <alignment horizontal="left" vertical="center" wrapText="1"/>
    </xf>
    <xf numFmtId="0" fontId="42" fillId="3" borderId="42" xfId="0" applyFont="1" applyFill="1" applyBorder="1" applyAlignment="1">
      <alignment horizontal="left" vertical="center" wrapText="1"/>
    </xf>
    <xf numFmtId="0" fontId="46" fillId="0" borderId="35" xfId="0" applyFont="1" applyBorder="1" applyAlignment="1">
      <alignment horizontal="center" vertical="top"/>
    </xf>
    <xf numFmtId="0" fontId="46" fillId="0" borderId="39" xfId="0" applyFont="1" applyBorder="1" applyAlignment="1">
      <alignment horizontal="center" vertical="top"/>
    </xf>
    <xf numFmtId="0" fontId="46" fillId="0" borderId="37" xfId="0" applyFont="1" applyBorder="1" applyAlignment="1">
      <alignment horizontal="center" vertical="top"/>
    </xf>
    <xf numFmtId="0" fontId="4" fillId="3" borderId="22" xfId="0" applyFont="1" applyFill="1" applyBorder="1" applyAlignment="1">
      <alignment horizontal="left" vertical="center" wrapText="1"/>
    </xf>
    <xf numFmtId="0" fontId="4" fillId="3" borderId="24" xfId="0" applyFont="1" applyFill="1" applyBorder="1" applyAlignment="1">
      <alignment horizontal="left" vertical="center" wrapText="1"/>
    </xf>
    <xf numFmtId="0" fontId="34" fillId="7" borderId="22" xfId="0" applyFont="1" applyFill="1" applyBorder="1" applyAlignment="1">
      <alignment horizontal="center" vertical="center" wrapText="1"/>
    </xf>
    <xf numFmtId="0" fontId="34" fillId="7" borderId="36" xfId="0" applyFont="1" applyFill="1" applyBorder="1" applyAlignment="1">
      <alignment horizontal="center" vertical="center"/>
    </xf>
    <xf numFmtId="0" fontId="34" fillId="7" borderId="8" xfId="0" applyFont="1" applyFill="1" applyBorder="1" applyAlignment="1">
      <alignment horizontal="center" vertical="center" wrapText="1"/>
    </xf>
    <xf numFmtId="0" fontId="34" fillId="7" borderId="8" xfId="0" applyFont="1" applyFill="1" applyBorder="1" applyAlignment="1">
      <alignment horizontal="center" vertical="center"/>
    </xf>
    <xf numFmtId="0" fontId="4" fillId="3" borderId="0" xfId="0" applyFont="1" applyFill="1" applyAlignment="1">
      <alignment horizontal="left" vertical="center" wrapText="1"/>
    </xf>
    <xf numFmtId="0" fontId="4" fillId="0" borderId="24" xfId="0" applyFont="1" applyBorder="1" applyAlignment="1">
      <alignment horizontal="center" vertical="center"/>
    </xf>
    <xf numFmtId="0" fontId="42" fillId="3" borderId="23" xfId="0" applyFont="1" applyFill="1" applyBorder="1" applyAlignment="1">
      <alignment horizontal="left" vertical="center" wrapText="1"/>
    </xf>
    <xf numFmtId="0" fontId="26" fillId="3" borderId="0" xfId="0" applyFont="1" applyFill="1" applyAlignment="1">
      <alignment horizontal="left" vertical="center" wrapText="1"/>
    </xf>
    <xf numFmtId="0" fontId="26" fillId="3" borderId="64" xfId="0" applyFont="1" applyFill="1" applyBorder="1" applyAlignment="1">
      <alignment horizontal="left" vertical="center" wrapText="1"/>
    </xf>
    <xf numFmtId="0" fontId="39" fillId="0" borderId="0" xfId="1" applyFont="1" applyFill="1" applyBorder="1" applyAlignment="1" applyProtection="1">
      <alignment horizontal="left"/>
    </xf>
    <xf numFmtId="0" fontId="4" fillId="7" borderId="8" xfId="0" applyFont="1" applyFill="1" applyBorder="1" applyAlignment="1">
      <alignment horizontal="center" vertical="center" wrapText="1"/>
    </xf>
    <xf numFmtId="0" fontId="4" fillId="7" borderId="8" xfId="0" applyFont="1" applyFill="1" applyBorder="1" applyAlignment="1">
      <alignment horizontal="center" vertical="center"/>
    </xf>
    <xf numFmtId="0" fontId="46" fillId="0" borderId="55" xfId="0" applyFont="1" applyBorder="1" applyAlignment="1">
      <alignment horizontal="center" vertical="top"/>
    </xf>
    <xf numFmtId="0" fontId="46" fillId="0" borderId="61" xfId="0" applyFont="1" applyBorder="1" applyAlignment="1">
      <alignment horizontal="center" vertical="top"/>
    </xf>
    <xf numFmtId="0" fontId="46" fillId="0" borderId="58" xfId="0" applyFont="1" applyBorder="1" applyAlignment="1">
      <alignment horizontal="center" vertical="top"/>
    </xf>
    <xf numFmtId="0" fontId="4" fillId="0" borderId="25" xfId="0" applyFont="1" applyBorder="1" applyAlignment="1">
      <alignment horizontal="center" vertical="center" wrapText="1"/>
    </xf>
    <xf numFmtId="0" fontId="4" fillId="0" borderId="26" xfId="0" applyFont="1" applyBorder="1" applyAlignment="1">
      <alignment horizontal="center" vertical="center" wrapText="1"/>
    </xf>
    <xf numFmtId="0" fontId="4" fillId="0" borderId="19" xfId="0" applyFont="1" applyBorder="1" applyAlignment="1">
      <alignment horizontal="center" vertical="center" wrapText="1"/>
    </xf>
    <xf numFmtId="0" fontId="17" fillId="0" borderId="25" xfId="0" applyFont="1" applyBorder="1" applyAlignment="1">
      <alignment horizontal="center" vertical="center" wrapText="1"/>
    </xf>
    <xf numFmtId="0" fontId="17" fillId="0" borderId="26" xfId="0" applyFont="1" applyBorder="1" applyAlignment="1">
      <alignment horizontal="center" vertical="center" wrapText="1"/>
    </xf>
    <xf numFmtId="0" fontId="17" fillId="0" borderId="19" xfId="0" applyFont="1" applyBorder="1" applyAlignment="1">
      <alignment horizontal="center" vertical="center" wrapText="1"/>
    </xf>
    <xf numFmtId="0" fontId="4" fillId="6" borderId="91" xfId="0" applyFont="1" applyFill="1" applyBorder="1" applyAlignment="1">
      <alignment horizontal="center" vertical="center" wrapText="1"/>
    </xf>
    <xf numFmtId="0" fontId="4" fillId="6" borderId="92" xfId="0" applyFont="1" applyFill="1" applyBorder="1" applyAlignment="1">
      <alignment horizontal="center" vertical="center" wrapText="1"/>
    </xf>
    <xf numFmtId="0" fontId="4" fillId="8" borderId="33" xfId="0" applyFont="1" applyFill="1" applyBorder="1" applyAlignment="1">
      <alignment horizontal="center" vertical="center" wrapText="1"/>
    </xf>
    <xf numFmtId="0" fontId="4" fillId="10" borderId="47" xfId="0" applyFont="1" applyFill="1" applyBorder="1" applyAlignment="1">
      <alignment horizontal="center" vertical="center"/>
    </xf>
    <xf numFmtId="0" fontId="4" fillId="10" borderId="49" xfId="0" applyFont="1" applyFill="1" applyBorder="1" applyAlignment="1">
      <alignment horizontal="center" vertical="center"/>
    </xf>
    <xf numFmtId="0" fontId="4" fillId="0" borderId="91" xfId="0" applyFont="1" applyBorder="1" applyAlignment="1">
      <alignment horizontal="center" vertical="center"/>
    </xf>
    <xf numFmtId="0" fontId="4" fillId="0" borderId="92" xfId="0" applyFont="1" applyBorder="1" applyAlignment="1">
      <alignment horizontal="center" vertical="center"/>
    </xf>
    <xf numFmtId="2" fontId="4" fillId="6" borderId="33" xfId="0" applyNumberFormat="1" applyFont="1" applyFill="1" applyBorder="1" applyAlignment="1">
      <alignment horizontal="center" vertical="center" wrapText="1"/>
    </xf>
    <xf numFmtId="2" fontId="4" fillId="6" borderId="34" xfId="0" applyNumberFormat="1" applyFont="1" applyFill="1" applyBorder="1" applyAlignment="1">
      <alignment horizontal="center" vertical="center" wrapText="1"/>
    </xf>
    <xf numFmtId="2" fontId="4" fillId="10" borderId="33" xfId="0" applyNumberFormat="1" applyFont="1" applyFill="1" applyBorder="1" applyAlignment="1">
      <alignment horizontal="center" vertical="center"/>
    </xf>
    <xf numFmtId="2" fontId="4" fillId="10" borderId="34" xfId="0" applyNumberFormat="1" applyFont="1" applyFill="1" applyBorder="1" applyAlignment="1">
      <alignment horizontal="center" vertical="center"/>
    </xf>
    <xf numFmtId="164" fontId="9" fillId="6" borderId="33" xfId="0" applyNumberFormat="1" applyFont="1" applyFill="1" applyBorder="1" applyAlignment="1">
      <alignment horizontal="center" vertical="center"/>
    </xf>
    <xf numFmtId="164" fontId="9" fillId="6" borderId="34" xfId="0" applyNumberFormat="1" applyFont="1" applyFill="1" applyBorder="1" applyAlignment="1">
      <alignment horizontal="center" vertical="center"/>
    </xf>
    <xf numFmtId="0" fontId="4" fillId="0" borderId="0" xfId="0" applyFont="1" applyAlignment="1">
      <alignment horizontal="left"/>
    </xf>
    <xf numFmtId="0" fontId="49" fillId="9" borderId="8" xfId="0" applyFont="1" applyFill="1" applyBorder="1" applyAlignment="1">
      <alignment horizontal="center" vertical="center" wrapText="1"/>
    </xf>
    <xf numFmtId="0" fontId="49" fillId="9" borderId="34" xfId="0" applyFont="1" applyFill="1" applyBorder="1" applyAlignment="1">
      <alignment horizontal="center" vertical="center"/>
    </xf>
    <xf numFmtId="0" fontId="42" fillId="3" borderId="93" xfId="0" applyFont="1" applyFill="1" applyBorder="1" applyAlignment="1">
      <alignment horizontal="left" vertical="center" wrapText="1"/>
    </xf>
    <xf numFmtId="0" fontId="42" fillId="3" borderId="94" xfId="0" applyFont="1" applyFill="1" applyBorder="1" applyAlignment="1">
      <alignment horizontal="left" vertical="center" wrapText="1"/>
    </xf>
    <xf numFmtId="0" fontId="26" fillId="3" borderId="15" xfId="0" applyFont="1" applyFill="1" applyBorder="1" applyAlignment="1">
      <alignment horizontal="left" vertical="top" wrapText="1"/>
    </xf>
    <xf numFmtId="0" fontId="26" fillId="3" borderId="18" xfId="0" applyFont="1" applyFill="1" applyBorder="1" applyAlignment="1">
      <alignment horizontal="left" vertical="top" wrapText="1"/>
    </xf>
    <xf numFmtId="0" fontId="4" fillId="3" borderId="24"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8" borderId="72" xfId="0" applyFont="1" applyFill="1" applyBorder="1" applyAlignment="1">
      <alignment horizontal="center" vertical="center" wrapText="1"/>
    </xf>
    <xf numFmtId="0" fontId="4" fillId="8" borderId="73" xfId="0" applyFont="1" applyFill="1" applyBorder="1" applyAlignment="1">
      <alignment horizontal="center" vertical="center" wrapText="1"/>
    </xf>
    <xf numFmtId="0" fontId="41" fillId="3" borderId="3" xfId="0" applyFont="1" applyFill="1" applyBorder="1" applyAlignment="1">
      <alignment horizontal="left" vertical="center" wrapText="1"/>
    </xf>
    <xf numFmtId="0" fontId="41" fillId="3" borderId="2" xfId="0" applyFont="1" applyFill="1" applyBorder="1" applyAlignment="1">
      <alignment horizontal="left" vertical="center" wrapText="1"/>
    </xf>
    <xf numFmtId="0" fontId="4" fillId="6" borderId="70" xfId="0" applyFont="1" applyFill="1" applyBorder="1" applyAlignment="1">
      <alignment horizontal="center" vertical="center" wrapText="1"/>
    </xf>
    <xf numFmtId="0" fontId="4" fillId="6" borderId="71" xfId="0" applyFont="1" applyFill="1" applyBorder="1" applyAlignment="1">
      <alignment horizontal="center" vertical="center" wrapText="1"/>
    </xf>
    <xf numFmtId="0" fontId="9" fillId="3" borderId="28" xfId="0" applyFont="1" applyFill="1" applyBorder="1" applyAlignment="1">
      <alignment horizontal="left" vertical="center" wrapText="1"/>
    </xf>
    <xf numFmtId="0" fontId="9" fillId="3" borderId="15" xfId="0" applyFont="1" applyFill="1" applyBorder="1" applyAlignment="1">
      <alignment horizontal="left" vertical="center" wrapText="1"/>
    </xf>
    <xf numFmtId="0" fontId="42" fillId="3" borderId="3" xfId="0" applyFont="1" applyFill="1" applyBorder="1" applyAlignment="1">
      <alignment horizontal="left" vertical="top" wrapText="1"/>
    </xf>
    <xf numFmtId="0" fontId="42" fillId="3" borderId="2" xfId="0" applyFont="1" applyFill="1" applyBorder="1" applyAlignment="1">
      <alignment horizontal="left" vertical="top" wrapText="1"/>
    </xf>
    <xf numFmtId="0" fontId="4" fillId="3" borderId="28" xfId="0" applyFont="1" applyFill="1" applyBorder="1" applyAlignment="1">
      <alignment horizontal="left" vertical="center" wrapText="1"/>
    </xf>
    <xf numFmtId="0" fontId="4" fillId="3" borderId="15" xfId="0" applyFont="1" applyFill="1" applyBorder="1" applyAlignment="1">
      <alignment horizontal="left" vertical="center" wrapText="1"/>
    </xf>
    <xf numFmtId="0" fontId="9" fillId="3" borderId="22" xfId="0" applyFont="1" applyFill="1" applyBorder="1" applyAlignment="1">
      <alignment horizontal="center" vertical="center"/>
    </xf>
    <xf numFmtId="0" fontId="9" fillId="3" borderId="24" xfId="0" applyFont="1" applyFill="1" applyBorder="1" applyAlignment="1">
      <alignment horizontal="center" vertical="center"/>
    </xf>
    <xf numFmtId="0" fontId="9" fillId="3" borderId="23" xfId="0" applyFont="1" applyFill="1" applyBorder="1" applyAlignment="1">
      <alignment horizontal="center" vertical="center"/>
    </xf>
    <xf numFmtId="0" fontId="41" fillId="3" borderId="3" xfId="0" applyFont="1" applyFill="1" applyBorder="1" applyAlignment="1">
      <alignment horizontal="left" vertical="top" wrapText="1"/>
    </xf>
    <xf numFmtId="0" fontId="41" fillId="3" borderId="2" xfId="0" applyFont="1" applyFill="1" applyBorder="1" applyAlignment="1">
      <alignment horizontal="left" vertical="top" wrapText="1"/>
    </xf>
    <xf numFmtId="0" fontId="4" fillId="7" borderId="16" xfId="0" applyFont="1" applyFill="1" applyBorder="1" applyAlignment="1">
      <alignment horizontal="center" vertical="center" wrapText="1"/>
    </xf>
    <xf numFmtId="0" fontId="4" fillId="7" borderId="18" xfId="0" applyFont="1" applyFill="1" applyBorder="1" applyAlignment="1">
      <alignment horizontal="center" vertical="center" wrapText="1"/>
    </xf>
    <xf numFmtId="0" fontId="4" fillId="7" borderId="17" xfId="0" applyFont="1" applyFill="1" applyBorder="1" applyAlignment="1">
      <alignment horizontal="center" vertical="center" wrapText="1"/>
    </xf>
    <xf numFmtId="0" fontId="41" fillId="7" borderId="87" xfId="0" applyFont="1" applyFill="1" applyBorder="1" applyAlignment="1">
      <alignment horizontal="center" wrapText="1"/>
    </xf>
    <xf numFmtId="0" fontId="41" fillId="7" borderId="88" xfId="0" applyFont="1" applyFill="1" applyBorder="1" applyAlignment="1">
      <alignment horizontal="center" wrapText="1"/>
    </xf>
    <xf numFmtId="0" fontId="4" fillId="0" borderId="16" xfId="0" applyFont="1" applyBorder="1" applyAlignment="1">
      <alignment horizontal="center" vertical="center"/>
    </xf>
    <xf numFmtId="0" fontId="4" fillId="0" borderId="18" xfId="0" applyFont="1" applyBorder="1" applyAlignment="1">
      <alignment horizontal="center" vertical="center"/>
    </xf>
    <xf numFmtId="0" fontId="4" fillId="6" borderId="87" xfId="0" applyFont="1" applyFill="1" applyBorder="1" applyAlignment="1">
      <alignment horizontal="center" vertical="center" wrapText="1"/>
    </xf>
    <xf numFmtId="0" fontId="4" fillId="6" borderId="89" xfId="0" applyFont="1" applyFill="1" applyBorder="1" applyAlignment="1">
      <alignment horizontal="center" vertical="center" wrapText="1"/>
    </xf>
    <xf numFmtId="0" fontId="4" fillId="3" borderId="27" xfId="0" applyFont="1" applyFill="1" applyBorder="1" applyAlignment="1">
      <alignment horizontal="center" vertical="center" wrapText="1"/>
    </xf>
    <xf numFmtId="0" fontId="4" fillId="3" borderId="90" xfId="0" applyFont="1" applyFill="1" applyBorder="1" applyAlignment="1">
      <alignment horizontal="center" vertical="center" wrapText="1"/>
    </xf>
    <xf numFmtId="0" fontId="4" fillId="3" borderId="28" xfId="0" applyFont="1" applyFill="1" applyBorder="1" applyAlignment="1">
      <alignment horizontal="center" vertical="center" wrapText="1"/>
    </xf>
    <xf numFmtId="0" fontId="26" fillId="3" borderId="16" xfId="0" applyFont="1" applyFill="1" applyBorder="1" applyAlignment="1">
      <alignment horizontal="center" vertical="center" wrapText="1"/>
    </xf>
    <xf numFmtId="0" fontId="26" fillId="3" borderId="17" xfId="0" applyFont="1" applyFill="1" applyBorder="1" applyAlignment="1">
      <alignment horizontal="center" vertical="center" wrapText="1"/>
    </xf>
    <xf numFmtId="0" fontId="26" fillId="3" borderId="18" xfId="0" applyFont="1" applyFill="1" applyBorder="1" applyAlignment="1">
      <alignment horizontal="center" vertical="center" wrapText="1"/>
    </xf>
    <xf numFmtId="0" fontId="4" fillId="3" borderId="14" xfId="0" applyFont="1" applyFill="1" applyBorder="1" applyAlignment="1">
      <alignment horizontal="center" vertical="center" wrapText="1"/>
    </xf>
    <xf numFmtId="0" fontId="4" fillId="3" borderId="0" xfId="0" applyFont="1" applyFill="1" applyAlignment="1">
      <alignment horizontal="center" vertical="center" wrapText="1"/>
    </xf>
    <xf numFmtId="0" fontId="4" fillId="3" borderId="15" xfId="0" applyFont="1" applyFill="1" applyBorder="1" applyAlignment="1">
      <alignment horizontal="center" vertical="center" wrapText="1"/>
    </xf>
  </cellXfs>
  <cellStyles count="12">
    <cellStyle name="Hipersaitas" xfId="1" builtinId="8"/>
    <cellStyle name="Įprastas" xfId="0" builtinId="0"/>
    <cellStyle name="Įprastas 2" xfId="6" xr:uid="{AF05CF2D-D618-4026-9BD3-167FFA3308E9}"/>
    <cellStyle name="Įprastas 3" xfId="10" xr:uid="{1E3A0D5A-4CFA-4BC1-BFAC-8CEAE8013A77}"/>
    <cellStyle name="Įprastas 5" xfId="9" xr:uid="{24352BD7-FF1F-4BCB-A618-16C73D39FFF0}"/>
    <cellStyle name="Įprastas 6" xfId="8" xr:uid="{5A0FAE1B-0450-4951-8345-53579E1BD0FE}"/>
    <cellStyle name="Įprastas 8 2" xfId="7" xr:uid="{8C087F1F-A6E6-49CC-8D19-381F6EC162AB}"/>
    <cellStyle name="Normal 18" xfId="3" xr:uid="{1A4A2765-3B13-476A-B988-826493B987E5}"/>
    <cellStyle name="Normal 4" xfId="4" xr:uid="{C366F9C7-F114-4B72-8C90-9D319E9CA060}"/>
    <cellStyle name="Normal 5" xfId="5" xr:uid="{2DD1DBB4-8FD1-4DD8-8AD9-21E3254968C6}"/>
    <cellStyle name="Normal 6" xfId="2" xr:uid="{39C61853-18A8-4376-BEEE-408C39E94774}"/>
    <cellStyle name="Normal_____3lentelė - 2,3,4 lapai_3_variantas" xfId="11" xr:uid="{257EF036-731E-4E16-9C4E-3C5C3A13DF22}"/>
  </cellStyles>
  <dxfs count="0"/>
  <tableStyles count="0" defaultTableStyle="TableStyleMedium2" defaultPivotStyle="PivotStyleLight16"/>
  <colors>
    <mruColors>
      <color rgb="FFB5DDF0"/>
      <color rgb="FFC9D6D9"/>
      <color rgb="FF47ABD9"/>
      <color rgb="FF00244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valstybeskontrole.lt/LT/BiudzetoStebesena" TargetMode="External"/></Relationships>
</file>

<file path=xl/drawings/drawing1.xml><?xml version="1.0" encoding="utf-8"?>
<xdr:wsDr xmlns:xdr="http://schemas.openxmlformats.org/drawingml/2006/spreadsheetDrawing" xmlns:a="http://schemas.openxmlformats.org/drawingml/2006/main">
  <xdr:twoCellAnchor editAs="oneCell">
    <xdr:from>
      <xdr:col>3</xdr:col>
      <xdr:colOff>167640</xdr:colOff>
      <xdr:row>0</xdr:row>
      <xdr:rowOff>144780</xdr:rowOff>
    </xdr:from>
    <xdr:to>
      <xdr:col>3</xdr:col>
      <xdr:colOff>2228806</xdr:colOff>
      <xdr:row>0</xdr:row>
      <xdr:rowOff>1203960</xdr:rowOff>
    </xdr:to>
    <xdr:pic>
      <xdr:nvPicPr>
        <xdr:cNvPr id="4" name="Paveikslėlis 3" descr="https://intranetas.vkontrole.lt/sablonai/images/ZENKLAI/antrinis_logotipas_LT_bs_sp.png">
          <a:hlinkClick xmlns:r="http://schemas.openxmlformats.org/officeDocument/2006/relationships" r:id="rId1"/>
          <a:extLst>
            <a:ext uri="{FF2B5EF4-FFF2-40B4-BE49-F238E27FC236}">
              <a16:creationId xmlns:a16="http://schemas.microsoft.com/office/drawing/2014/main" id="{52EB93B5-16DA-401D-A594-4AE83511663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54380" y="144780"/>
          <a:ext cx="2061166" cy="10591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583790</xdr:colOff>
      <xdr:row>20</xdr:row>
      <xdr:rowOff>163518</xdr:rowOff>
    </xdr:from>
    <xdr:to>
      <xdr:col>3</xdr:col>
      <xdr:colOff>1053387</xdr:colOff>
      <xdr:row>21</xdr:row>
      <xdr:rowOff>143387</xdr:rowOff>
    </xdr:to>
    <mc:AlternateContent xmlns:mc="http://schemas.openxmlformats.org/markup-compatibility/2006" xmlns:a14="http://schemas.microsoft.com/office/drawing/2010/main">
      <mc:Choice Requires="a14">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 name="TextBox 3">
              <a:extLst>
                <a:ext uri="{FF2B5EF4-FFF2-40B4-BE49-F238E27FC236}">
                  <a16:creationId xmlns:a16="http://schemas.microsoft.com/office/drawing/2014/main" id="{E7314CC0-3762-440A-B7AB-815A0381525B}"/>
                </a:ext>
              </a:extLst>
            </xdr:cNvPr>
            <xdr:cNvSpPr txBox="1"/>
          </xdr:nvSpPr>
          <xdr:spPr>
            <a:xfrm>
              <a:off x="5346290" y="7568437"/>
              <a:ext cx="469597" cy="532934"/>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^4▒S_i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813372</xdr:colOff>
      <xdr:row>23</xdr:row>
      <xdr:rowOff>127014</xdr:rowOff>
    </xdr:from>
    <xdr:to>
      <xdr:col>4</xdr:col>
      <xdr:colOff>599327</xdr:colOff>
      <xdr:row>24</xdr:row>
      <xdr:rowOff>185684</xdr:rowOff>
    </xdr:to>
    <mc:AlternateContent xmlns:mc="http://schemas.openxmlformats.org/markup-compatibility/2006" xmlns:a14="http://schemas.microsoft.com/office/drawing/2010/main">
      <mc:Choice Requires="a14">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nary>
                      <m:naryPr>
                        <m:chr m:val="⋃"/>
                        <m:ctrl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𝑖</m:t>
                        </m:r>
                        <m: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lt-LT"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sSub>
                          <m:sSubPr>
                            <m:ctrlPr>
                              <a:rPr kumimoji="0" lang="en-US" sz="11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A</m:t>
                            </m:r>
                          </m:e>
                          <m:sub>
                            <m:r>
                              <m:rPr>
                                <m:sty m:val="p"/>
                              </m:rP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i</m:t>
                            </m:r>
                          </m:sub>
                        </m:sSub>
                      </m:e>
                    </m:nary>
                  </m:oMath>
                </m:oMathPara>
              </a14:m>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8" name="TextBox 47">
              <a:extLst>
                <a:ext uri="{FF2B5EF4-FFF2-40B4-BE49-F238E27FC236}">
                  <a16:creationId xmlns:a16="http://schemas.microsoft.com/office/drawing/2014/main" id="{7AEC59CB-60F2-43D0-9DA2-3FD813767A42}"/>
                </a:ext>
              </a:extLst>
            </xdr:cNvPr>
            <xdr:cNvSpPr txBox="1"/>
          </xdr:nvSpPr>
          <xdr:spPr>
            <a:xfrm>
              <a:off x="8144411" y="7661396"/>
              <a:ext cx="759860" cy="590036"/>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(𝑖</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a:t>
              </a:r>
              <a:r>
                <a:rPr kumimoji="0" lang="en-US" sz="11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_i </a:t>
              </a:r>
              <a:endParaRPr kumimoji="0" lang="lt-LT" sz="11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174739</xdr:colOff>
      <xdr:row>31</xdr:row>
      <xdr:rowOff>279621</xdr:rowOff>
    </xdr:from>
    <xdr:to>
      <xdr:col>4</xdr:col>
      <xdr:colOff>1269615</xdr:colOff>
      <xdr:row>31</xdr:row>
      <xdr:rowOff>610027</xdr:rowOff>
    </xdr:to>
    <mc:AlternateContent xmlns:mc="http://schemas.openxmlformats.org/markup-compatibility/2006" xmlns:a14="http://schemas.microsoft.com/office/drawing/2010/main">
      <mc:Choice Requires="a14">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14:m>
                <m:oMathPara xmlns:m="http://schemas.openxmlformats.org/officeDocument/2006/math">
                  <m:oMathParaPr>
                    <m:jc m:val="centerGroup"/>
                  </m:oMathParaPr>
                  <m:oMath xmlns:m="http://schemas.openxmlformats.org/officeDocument/2006/math">
                    <m:f>
                      <m:fPr>
                        <m:ctrlPr>
                          <a:rPr lang="en-US" sz="800" b="0" i="1">
                            <a:latin typeface="Cambria Math" panose="02040503050406030204" pitchFamily="18" charset="0"/>
                          </a:rPr>
                        </m:ctrlPr>
                      </m:fPr>
                      <m:num>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m:t>
                        </m:r>
                      </m:num>
                      <m:den>
                        <m:r>
                          <m:rPr>
                            <m:sty m:val="p"/>
                          </m:rPr>
                          <a:rPr lang="lt-LT" sz="800" b="0" i="0">
                            <a:latin typeface="Cambria Math" panose="02040503050406030204" pitchFamily="18" charset="0"/>
                          </a:rPr>
                          <m:t>AV</m:t>
                        </m:r>
                        <m:r>
                          <a:rPr lang="lt-LT" sz="800" b="0" i="0">
                            <a:latin typeface="Cambria Math" panose="02040503050406030204" pitchFamily="18" charset="0"/>
                          </a:rPr>
                          <m:t>3</m:t>
                        </m:r>
                        <m:d>
                          <m:dPr>
                            <m:ctrlPr>
                              <a:rPr lang="en-US" sz="800" b="0" i="1">
                                <a:latin typeface="Cambria Math" panose="02040503050406030204" pitchFamily="18" charset="0"/>
                              </a:rPr>
                            </m:ctrlPr>
                          </m:dPr>
                          <m:e>
                            <m:r>
                              <m:rPr>
                                <m:sty m:val="p"/>
                              </m:rPr>
                              <a:rPr lang="en-US" sz="800" b="0" i="0">
                                <a:latin typeface="Cambria Math" panose="02040503050406030204" pitchFamily="18" charset="0"/>
                              </a:rPr>
                              <m:t>t</m:t>
                            </m:r>
                            <m:r>
                              <a:rPr lang="en-US" sz="800" b="0" i="0">
                                <a:latin typeface="Cambria Math" panose="02040503050406030204" pitchFamily="18" charset="0"/>
                              </a:rPr>
                              <m:t>−1</m:t>
                            </m:r>
                          </m:e>
                        </m:d>
                        <m:r>
                          <a:rPr lang="en-US" sz="800" b="0" i="1">
                            <a:latin typeface="Cambria Math" panose="02040503050406030204" pitchFamily="18" charset="0"/>
                          </a:rPr>
                          <m:t>−</m:t>
                        </m:r>
                        <m:r>
                          <m:rPr>
                            <m:sty m:val="p"/>
                          </m:rPr>
                          <a:rPr lang="en-US" sz="800" b="0" i="0">
                            <a:latin typeface="Cambria Math" panose="02040503050406030204" pitchFamily="18" charset="0"/>
                          </a:rPr>
                          <m:t>ES</m:t>
                        </m:r>
                        <m:r>
                          <a:rPr lang="en-US" sz="800" b="0" i="1">
                            <a:latin typeface="Cambria Math" panose="02040503050406030204" pitchFamily="18" charset="0"/>
                          </a:rPr>
                          <m:t>(</m:t>
                        </m:r>
                        <m:r>
                          <m:rPr>
                            <m:sty m:val="p"/>
                          </m:rPr>
                          <a:rPr lang="en-US" sz="800" b="0" i="0">
                            <a:latin typeface="Cambria Math" panose="02040503050406030204" pitchFamily="18" charset="0"/>
                          </a:rPr>
                          <m:t>t</m:t>
                        </m:r>
                        <m:r>
                          <a:rPr lang="en-US" sz="800" b="0" i="1">
                            <a:latin typeface="Cambria Math" panose="02040503050406030204" pitchFamily="18" charset="0"/>
                          </a:rPr>
                          <m:t>−1)</m:t>
                        </m:r>
                      </m:den>
                    </m:f>
                    <m:r>
                      <a:rPr lang="en-US" sz="800" b="0" i="1">
                        <a:latin typeface="Cambria Math" panose="02040503050406030204" pitchFamily="18" charset="0"/>
                        <a:ea typeface="Cambria Math" panose="02040503050406030204" pitchFamily="18" charset="0"/>
                      </a:rPr>
                      <m:t>≤</m:t>
                    </m:r>
                    <m:sSub>
                      <m:sSubPr>
                        <m:ctrlPr>
                          <a:rPr lang="en-US" sz="1050" b="0" i="1">
                            <a:solidFill>
                              <a:schemeClr val="tx1"/>
                            </a:solidFill>
                            <a:effectLst/>
                            <a:latin typeface="Cambria Math" panose="02040503050406030204" pitchFamily="18" charset="0"/>
                            <a:ea typeface="+mn-ea"/>
                            <a:cs typeface="+mn-cs"/>
                          </a:rPr>
                        </m:ctrlPr>
                      </m:sSubPr>
                      <m:e>
                        <m:r>
                          <a:rPr lang="en-US" sz="1050" b="0" i="0">
                            <a:solidFill>
                              <a:schemeClr val="tx1"/>
                            </a:solidFill>
                            <a:effectLst/>
                            <a:latin typeface="Cambria Math" panose="02040503050406030204" pitchFamily="18" charset="0"/>
                            <a:ea typeface="+mn-ea"/>
                            <a:cs typeface="+mn-cs"/>
                          </a:rPr>
                          <m:t>0,5⋅</m:t>
                        </m:r>
                        <m:r>
                          <m:rPr>
                            <m:sty m:val="p"/>
                          </m:rPr>
                          <a:rPr lang="en-US" sz="1050" b="0" i="0">
                            <a:solidFill>
                              <a:schemeClr val="tx1"/>
                            </a:solidFill>
                            <a:effectLst/>
                            <a:latin typeface="Cambria Math" panose="02040503050406030204" pitchFamily="18" charset="0"/>
                            <a:ea typeface="+mn-ea"/>
                            <a:cs typeface="+mn-cs"/>
                          </a:rPr>
                          <m:t>Y</m:t>
                        </m:r>
                      </m:e>
                      <m:sub>
                        <m:r>
                          <m:rPr>
                            <m:sty m:val="p"/>
                          </m:rPr>
                          <a:rPr lang="en-US" sz="1050" b="0" i="0">
                            <a:solidFill>
                              <a:schemeClr val="tx1"/>
                            </a:solidFill>
                            <a:effectLst/>
                            <a:latin typeface="Cambria Math" panose="02040503050406030204" pitchFamily="18" charset="0"/>
                            <a:ea typeface="+mn-ea"/>
                            <a:cs typeface="+mn-cs"/>
                          </a:rPr>
                          <m:t>np</m:t>
                        </m:r>
                        <m:r>
                          <a:rPr lang="en-US" sz="1050" b="0" i="0">
                            <a:solidFill>
                              <a:schemeClr val="tx1"/>
                            </a:solidFill>
                            <a:effectLst/>
                            <a:latin typeface="Cambria Math" panose="02040503050406030204" pitchFamily="18" charset="0"/>
                            <a:ea typeface="+mn-ea"/>
                            <a:cs typeface="+mn-cs"/>
                          </a:rPr>
                          <m:t>10</m:t>
                        </m:r>
                        <m:r>
                          <m:rPr>
                            <m:sty m:val="p"/>
                          </m:rPr>
                          <a:rPr lang="en-US" sz="1050" b="0" i="0">
                            <a:solidFill>
                              <a:schemeClr val="tx1"/>
                            </a:solidFill>
                            <a:effectLst/>
                            <a:latin typeface="Cambria Math" panose="02040503050406030204" pitchFamily="18" charset="0"/>
                            <a:ea typeface="+mn-ea"/>
                            <a:cs typeface="+mn-cs"/>
                          </a:rPr>
                          <m:t>t</m:t>
                        </m:r>
                      </m:sub>
                    </m:sSub>
                  </m:oMath>
                </m:oMathPara>
              </a14:m>
              <a:endParaRPr lang="lt-LT" sz="800" i="0"/>
            </a:p>
          </xdr:txBody>
        </xdr:sp>
      </mc:Choice>
      <mc:Fallback xmlns="">
        <xdr:sp macro="" textlink="">
          <xdr:nvSpPr>
            <xdr:cNvPr id="11" name="TextBox 10">
              <a:extLst>
                <a:ext uri="{FF2B5EF4-FFF2-40B4-BE49-F238E27FC236}">
                  <a16:creationId xmlns:a16="http://schemas.microsoft.com/office/drawing/2014/main" id="{A0642A1E-252D-4651-B8DE-DFDE13CB018C}"/>
                </a:ext>
              </a:extLst>
            </xdr:cNvPr>
            <xdr:cNvSpPr txBox="1">
              <a:spLocks/>
            </xdr:cNvSpPr>
          </xdr:nvSpPr>
          <xdr:spPr>
            <a:xfrm>
              <a:off x="7505778" y="10339733"/>
              <a:ext cx="2068781" cy="33040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lIns="0" tIns="0" rIns="0" bIns="0" rtlCol="0" anchor="t">
              <a:noAutofit/>
            </a:bodyPr>
            <a:lstStyle/>
            <a:p>
              <a:pPr/>
              <a:r>
                <a:rPr lang="en-US" sz="800" b="0" i="0">
                  <a:latin typeface="Cambria Math" panose="02040503050406030204" pitchFamily="18" charset="0"/>
                </a:rPr>
                <a:t>(</a:t>
              </a:r>
              <a:r>
                <a:rPr lang="lt-LT" sz="800" b="0" i="0">
                  <a:latin typeface="Cambria Math" panose="02040503050406030204" pitchFamily="18" charset="0"/>
                </a:rPr>
                <a:t>AV3</a:t>
              </a:r>
              <a:r>
                <a:rPr lang="en-US" sz="800" b="0" i="0">
                  <a:latin typeface="Cambria Math" panose="02040503050406030204" pitchFamily="18" charset="0"/>
                </a:rPr>
                <a:t>(t)−ES(t))/(</a:t>
              </a:r>
              <a:r>
                <a:rPr lang="lt-LT" sz="800" b="0" i="0">
                  <a:latin typeface="Cambria Math" panose="02040503050406030204" pitchFamily="18" charset="0"/>
                </a:rPr>
                <a:t>AV3</a:t>
              </a:r>
              <a:r>
                <a:rPr lang="en-US" sz="800" b="0" i="0">
                  <a:latin typeface="Cambria Math" panose="02040503050406030204" pitchFamily="18" charset="0"/>
                </a:rPr>
                <a:t>(t−1)−ES(t−1))</a:t>
              </a:r>
              <a:r>
                <a:rPr lang="en-US" sz="800" b="0" i="0">
                  <a:latin typeface="Cambria Math" panose="02040503050406030204" pitchFamily="18" charset="0"/>
                  <a:ea typeface="Cambria Math" panose="02040503050406030204" pitchFamily="18" charset="0"/>
                </a:rPr>
                <a:t>≤</a:t>
              </a:r>
              <a:r>
                <a:rPr lang="en-US" sz="1050" b="0" i="0">
                  <a:solidFill>
                    <a:schemeClr val="tx1"/>
                  </a:solidFill>
                  <a:effectLst/>
                  <a:latin typeface="Cambria Math" panose="02040503050406030204" pitchFamily="18" charset="0"/>
                  <a:ea typeface="+mn-ea"/>
                  <a:cs typeface="+mn-cs"/>
                </a:rPr>
                <a:t>〖0,5⋅Y〗_np10t</a:t>
              </a:r>
              <a:endParaRPr lang="lt-LT" sz="800" i="0"/>
            </a:p>
          </xdr:txBody>
        </xdr:sp>
      </mc:Fallback>
    </mc:AlternateContent>
    <xdr:clientData/>
  </xdr:twoCellAnchor>
  <xdr:twoCellAnchor editAs="oneCell">
    <xdr:from>
      <xdr:col>3</xdr:col>
      <xdr:colOff>193812</xdr:colOff>
      <xdr:row>33</xdr:row>
      <xdr:rowOff>94256</xdr:rowOff>
    </xdr:from>
    <xdr:to>
      <xdr:col>4</xdr:col>
      <xdr:colOff>1393030</xdr:colOff>
      <xdr:row>33</xdr:row>
      <xdr:rowOff>750094</xdr:rowOff>
    </xdr:to>
    <mc:AlternateContent xmlns:mc="http://schemas.openxmlformats.org/markup-compatibility/2006" xmlns:a14="http://schemas.microsoft.com/office/drawing/2010/main">
      <mc:Choice Requires="a14">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528062" y="12107662"/>
              <a:ext cx="2175531" cy="655838"/>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np</m:t>
                        </m:r>
                        <m: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m:t>
                        </m:r>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ad>
                          <m:radPr>
                            <m:ctrlPr>
                              <a:rPr lang="en-US" sz="1100" b="0" i="1" baseline="0">
                                <a:effectLst/>
                                <a:latin typeface="Cambria Math" panose="02040503050406030204" pitchFamily="18" charset="0"/>
                                <a:ea typeface="+mn-ea"/>
                                <a:cs typeface="+mn-cs"/>
                              </a:rPr>
                            </m:ctrlPr>
                          </m:radPr>
                          <m:deg>
                            <m:r>
                              <m:rPr>
                                <m:brk m:alnAt="7"/>
                              </m:rPr>
                              <a:rPr lang="en-US" sz="1100" b="0" i="1" baseline="0">
                                <a:effectLst/>
                                <a:latin typeface="Cambria Math" panose="02040503050406030204" pitchFamily="18" charset="0"/>
                                <a:ea typeface="+mn-ea"/>
                                <a:cs typeface="+mn-cs"/>
                              </a:rPr>
                              <m:t>1</m:t>
                            </m:r>
                            <m:r>
                              <a:rPr lang="en-US" sz="1100" b="0" i="1" baseline="0">
                                <a:effectLst/>
                                <a:latin typeface="Cambria Math" panose="02040503050406030204" pitchFamily="18" charset="0"/>
                                <a:ea typeface="+mn-ea"/>
                                <a:cs typeface="+mn-cs"/>
                              </a:rPr>
                              <m:t>0</m:t>
                            </m:r>
                          </m:deg>
                          <m:e>
                            <m:f>
                              <m:fPr>
                                <m:ctrlPr>
                                  <a:rPr lang="en-US" sz="1100" b="0" i="1" baseline="0">
                                    <a:effectLst/>
                                    <a:latin typeface="Cambria Math" panose="02040503050406030204" pitchFamily="18" charset="0"/>
                                    <a:ea typeface="+mn-ea"/>
                                    <a:cs typeface="+mn-cs"/>
                                  </a:rPr>
                                </m:ctrlPr>
                              </m:fPr>
                              <m:num>
                                <m:sSup>
                                  <m:sSupPr>
                                    <m:ctrlPr>
                                      <a:rPr lang="en-US" sz="1100" b="0" i="1" baseline="0">
                                        <a:effectLst/>
                                        <a:latin typeface="Cambria Math" panose="02040503050406030204" pitchFamily="18" charset="0"/>
                                        <a:ea typeface="+mn-ea"/>
                                        <a:cs typeface="+mn-cs"/>
                                      </a:rPr>
                                    </m:ctrlPr>
                                  </m:sSupPr>
                                  <m:e>
                                    <m:r>
                                      <m:rPr>
                                        <m:sty m:val="p"/>
                                      </m:rPr>
                                      <a:rPr lang="en-US" sz="1100" b="0" i="0" baseline="0">
                                        <a:effectLst/>
                                        <a:latin typeface="Cambria Math" panose="02040503050406030204" pitchFamily="18" charset="0"/>
                                        <a:ea typeface="+mn-ea"/>
                                        <a:cs typeface="+mn-cs"/>
                                      </a:rPr>
                                      <m:t>Y</m:t>
                                    </m:r>
                                  </m:e>
                                  <m:sup>
                                    <m:r>
                                      <a:rPr lang="en-US" sz="1100" b="0" i="1" baseline="0">
                                        <a:effectLst/>
                                        <a:latin typeface="Cambria Math" panose="02040503050406030204" pitchFamily="18" charset="0"/>
                                        <a:ea typeface="+mn-ea"/>
                                        <a:cs typeface="+mn-cs"/>
                                      </a:rPr>
                                      <m:t>∗</m:t>
                                    </m:r>
                                  </m:sup>
                                </m:sSup>
                                <m:d>
                                  <m:dPr>
                                    <m:ctrlPr>
                                      <a:rPr lang="en-US" sz="1100" b="0" i="1" baseline="0">
                                        <a:effectLst/>
                                        <a:latin typeface="Cambria Math" panose="02040503050406030204" pitchFamily="18" charset="0"/>
                                        <a:ea typeface="+mn-ea"/>
                                        <a:cs typeface="+mn-cs"/>
                                      </a:rPr>
                                    </m:ctrlPr>
                                  </m:dPr>
                                  <m:e>
                                    <m:r>
                                      <m:rPr>
                                        <m:sty m:val="p"/>
                                      </m:rPr>
                                      <a:rPr lang="en-US" sz="1100" b="0" i="0" baseline="0">
                                        <a:effectLst/>
                                        <a:latin typeface="Cambria Math" panose="02040503050406030204" pitchFamily="18" charset="0"/>
                                        <a:ea typeface="+mn-ea"/>
                                        <a:cs typeface="+mn-cs"/>
                                      </a:rPr>
                                      <m:t>t</m:t>
                                    </m:r>
                                    <m:r>
                                      <a:rPr lang="en-US" sz="1100" b="0" i="1" baseline="0">
                                        <a:effectLst/>
                                        <a:latin typeface="Cambria Math" panose="02040503050406030204" pitchFamily="18" charset="0"/>
                                        <a:ea typeface="+mn-ea"/>
                                        <a:cs typeface="+mn-cs"/>
                                      </a:rPr>
                                      <m:t>+2</m:t>
                                    </m:r>
                                  </m:e>
                                </m:d>
                              </m:num>
                              <m:den>
                                <m:sSup>
                                  <m:sSupPr>
                                    <m:ctrlPr>
                                      <a:rPr lang="en-US" sz="1100" b="0" i="1" baseline="0">
                                        <a:effectLst/>
                                        <a:latin typeface="Cambria Math" panose="02040503050406030204" pitchFamily="18" charset="0"/>
                                        <a:ea typeface="+mn-ea"/>
                                        <a:cs typeface="+mn-cs"/>
                                      </a:rPr>
                                    </m:ctrlPr>
                                  </m:sSupPr>
                                  <m:e>
                                    <m:r>
                                      <m:rPr>
                                        <m:sty m:val="p"/>
                                      </m:rPr>
                                      <a:rPr lang="en-US" sz="1100" b="0" i="0" baseline="0">
                                        <a:effectLst/>
                                        <a:latin typeface="Cambria Math" panose="02040503050406030204" pitchFamily="18" charset="0"/>
                                        <a:ea typeface="+mn-ea"/>
                                        <a:cs typeface="+mn-cs"/>
                                      </a:rPr>
                                      <m:t>Y</m:t>
                                    </m:r>
                                  </m:e>
                                  <m:sup>
                                    <m:r>
                                      <a:rPr lang="en-US" sz="1100" b="0" i="1" baseline="0">
                                        <a:effectLst/>
                                        <a:latin typeface="Cambria Math" panose="02040503050406030204" pitchFamily="18" charset="0"/>
                                        <a:ea typeface="+mn-ea"/>
                                        <a:cs typeface="+mn-cs"/>
                                      </a:rPr>
                                      <m:t>∗</m:t>
                                    </m:r>
                                  </m:sup>
                                </m:sSup>
                                <m:r>
                                  <a:rPr lang="en-US" sz="1100" b="0" i="1" baseline="0">
                                    <a:effectLst/>
                                    <a:latin typeface="Cambria Math" panose="02040503050406030204" pitchFamily="18" charset="0"/>
                                    <a:ea typeface="+mn-ea"/>
                                    <a:cs typeface="+mn-cs"/>
                                  </a:rPr>
                                  <m:t>(</m:t>
                                </m:r>
                                <m:r>
                                  <m:rPr>
                                    <m:sty m:val="p"/>
                                  </m:rPr>
                                  <a:rPr lang="en-US" sz="1100" b="0" i="0" baseline="0">
                                    <a:effectLst/>
                                    <a:latin typeface="Cambria Math" panose="02040503050406030204" pitchFamily="18" charset="0"/>
                                    <a:ea typeface="+mn-ea"/>
                                    <a:cs typeface="+mn-cs"/>
                                  </a:rPr>
                                  <m:t>t</m:t>
                                </m:r>
                                <m:r>
                                  <a:rPr lang="en-US" sz="1100" b="0" i="1" baseline="0">
                                    <a:effectLst/>
                                    <a:latin typeface="Cambria Math" panose="02040503050406030204" pitchFamily="18" charset="0"/>
                                    <a:ea typeface="+mn-ea"/>
                                    <a:cs typeface="+mn-cs"/>
                                  </a:rPr>
                                  <m:t>−8)</m:t>
                                </m:r>
                              </m:den>
                            </m:f>
                          </m:e>
                        </m:rad>
                        <m:sSub>
                          <m:sSubPr>
                            <m:ctrlPr>
                              <a:rPr lang="en-US" sz="1100" b="0" i="1" baseline="0">
                                <a:effectLst/>
                                <a:latin typeface="Cambria Math" panose="02040503050406030204" pitchFamily="18" charset="0"/>
                                <a:ea typeface="+mn-ea"/>
                                <a:cs typeface="+mn-cs"/>
                              </a:rPr>
                            </m:ctrlPr>
                          </m:sSubPr>
                          <m:e>
                            <m:r>
                              <a:rPr lang="en-US" sz="1100" b="0" i="1" baseline="0">
                                <a:effectLst/>
                                <a:latin typeface="Cambria Math" panose="02040503050406030204" pitchFamily="18" charset="0"/>
                                <a:ea typeface="+mn-ea"/>
                                <a:cs typeface="+mn-cs"/>
                              </a:rPr>
                              <m:t>𝑑</m:t>
                            </m:r>
                          </m:e>
                          <m:sub>
                            <m:r>
                              <a:rPr lang="en-US" sz="1100" b="0" i="1" baseline="0">
                                <a:effectLst/>
                                <a:latin typeface="Cambria Math" panose="02040503050406030204" pitchFamily="18" charset="0"/>
                                <a:ea typeface="+mn-ea"/>
                                <a:cs typeface="+mn-cs"/>
                              </a:rPr>
                              <m:t>𝑡</m:t>
                            </m:r>
                          </m:sub>
                        </m:sSub>
                        <m:r>
                          <a:rPr lang="en-US" sz="1100" b="0" i="1" baseline="0">
                            <a:effectLst/>
                            <a:latin typeface="Cambria Math" panose="02040503050406030204" pitchFamily="18" charset="0"/>
                            <a:ea typeface="+mn-ea"/>
                            <a:cs typeface="+mn-cs"/>
                          </a:rPr>
                          <m:t>−1</m:t>
                        </m:r>
                      </m:e>
                    </m:d>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∗100</m:t>
                    </m:r>
                  </m:oMath>
                </m:oMathPara>
              </a14:m>
              <a:endParaRPr kumimoji="0" lang="en-US"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3" name="TextBox 42">
              <a:extLst>
                <a:ext uri="{FF2B5EF4-FFF2-40B4-BE49-F238E27FC236}">
                  <a16:creationId xmlns:a16="http://schemas.microsoft.com/office/drawing/2014/main" id="{242E4FE0-5727-4EE2-8E60-B3FD145B8860}"/>
                </a:ext>
              </a:extLst>
            </xdr:cNvPr>
            <xdr:cNvSpPr txBox="1"/>
          </xdr:nvSpPr>
          <xdr:spPr>
            <a:xfrm>
              <a:off x="7528062" y="12107662"/>
              <a:ext cx="2175531" cy="655838"/>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Y_np10t=(</a:t>
              </a:r>
              <a:r>
                <a:rPr kumimoji="0" lang="en-US" sz="1100" b="0" i="0" u="none" strike="noStrike" kern="0" cap="none" spc="0" normalizeH="0" baseline="0" noProof="0">
                  <a:ln>
                    <a:noFill/>
                  </a:ln>
                  <a:solidFill>
                    <a:sysClr val="windowText" lastClr="000000"/>
                  </a:solidFill>
                  <a:effectLst/>
                  <a:uLnTx/>
                  <a:uFillTx/>
                  <a:latin typeface="+mn-lt"/>
                  <a:ea typeface="+mn-ea"/>
                  <a:cs typeface="+mn-cs"/>
                </a:rPr>
                <a:t>√(</a:t>
              </a:r>
              <a:r>
                <a:rPr lang="en-US" sz="1100" b="0" i="0" baseline="0">
                  <a:effectLst/>
                  <a:latin typeface="+mn-lt"/>
                  <a:ea typeface="+mn-ea"/>
                  <a:cs typeface="+mn-cs"/>
                </a:rPr>
                <a:t>10&amp;(Y^∗ (t+2))/(Y^∗ (t−8)))𝑑_𝑡−</a:t>
              </a:r>
              <a:r>
                <a:rPr lang="en-US" sz="1100" b="0" i="0" baseline="0">
                  <a:effectLst/>
                  <a:latin typeface="Cambria Math" panose="02040503050406030204" pitchFamily="18" charset="0"/>
                  <a:ea typeface="+mn-ea"/>
                  <a:cs typeface="+mn-cs"/>
                </a:rPr>
                <a: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)∗100</a:t>
              </a:r>
              <a:endParaRPr kumimoji="0" lang="en-US"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707244</xdr:colOff>
      <xdr:row>27</xdr:row>
      <xdr:rowOff>200504</xdr:rowOff>
    </xdr:from>
    <xdr:to>
      <xdr:col>4</xdr:col>
      <xdr:colOff>890124</xdr:colOff>
      <xdr:row>28</xdr:row>
      <xdr:rowOff>194817</xdr:rowOff>
    </xdr:to>
    <mc:AlternateContent xmlns:mc="http://schemas.openxmlformats.org/markup-compatibility/2006" xmlns:a14="http://schemas.microsoft.com/office/drawing/2010/main">
      <mc:Choice Requires="a14">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GB"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e>
                        </m:nary>
                      </m:num>
                      <m:den>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&lt;0</m:t>
                    </m:r>
                  </m:oMath>
                </m:oMathPara>
              </a14:m>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9" name="TextBox 48">
              <a:extLst>
                <a:ext uri="{FF2B5EF4-FFF2-40B4-BE49-F238E27FC236}">
                  <a16:creationId xmlns:a16="http://schemas.microsoft.com/office/drawing/2014/main" id="{C0F894EE-B0BC-40D8-9AC5-6BCCC3E9BD6B}"/>
                </a:ext>
              </a:extLst>
            </xdr:cNvPr>
            <xdr:cNvSpPr txBox="1"/>
          </xdr:nvSpPr>
          <xdr:spPr>
            <a:xfrm>
              <a:off x="8038283" y="9318819"/>
              <a:ext cx="1156785" cy="399794"/>
            </a:xfrm>
            <a:prstGeom prst="rect">
              <a:avLst/>
            </a:prstGeom>
            <a:noFill/>
            <a:ln>
              <a:noFill/>
            </a:ln>
            <a:effectLst/>
          </xdr:spPr>
          <xdr:txBody>
            <a:bodyPr vertOverflow="clip" horzOverflow="clip" wrap="squar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B</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(t−𝑗</a:t>
              </a:r>
              <a:r>
                <a:rPr kumimoji="0" lang="en-GB"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)/5&lt;0</a:t>
              </a:r>
              <a:endParaRPr kumimoji="0" lang="lt-LT" sz="12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507110</xdr:colOff>
      <xdr:row>13</xdr:row>
      <xdr:rowOff>78342</xdr:rowOff>
    </xdr:from>
    <xdr:to>
      <xdr:col>4</xdr:col>
      <xdr:colOff>1025270</xdr:colOff>
      <xdr:row>15</xdr:row>
      <xdr:rowOff>217420</xdr:rowOff>
    </xdr:to>
    <mc:AlternateContent xmlns:mc="http://schemas.openxmlformats.org/markup-compatibility/2006" xmlns:a14="http://schemas.microsoft.com/office/drawing/2010/main">
      <mc:Choice Requires="a14">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f>
                      <m:f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nary>
                          <m:naryPr>
                            <m:chr m:val="∑"/>
                            <m:ctrlPr>
                              <a:rPr kumimoji="0" lang="lt-LT"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GB"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B</m:t>
                            </m:r>
                            <m:d>
                              <m:dPr>
                                <m:ctrlP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num>
                      <m:den>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r>
                      <a:rPr kumimoji="0" lang="en-US" sz="105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≥0,1</m:t>
                    </m:r>
                  </m:oMath>
                </m:oMathPara>
              </a14:m>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23" name="TextBox 22">
              <a:extLst>
                <a:ext uri="{FF2B5EF4-FFF2-40B4-BE49-F238E27FC236}">
                  <a16:creationId xmlns:a16="http://schemas.microsoft.com/office/drawing/2014/main" id="{F6FFA6B9-EAD2-4C85-A817-0EF4221AC893}"/>
                </a:ext>
              </a:extLst>
            </xdr:cNvPr>
            <xdr:cNvSpPr txBox="1"/>
          </xdr:nvSpPr>
          <xdr:spPr>
            <a:xfrm>
              <a:off x="7675076" y="5744910"/>
              <a:ext cx="1486804" cy="622593"/>
            </a:xfrm>
            <a:prstGeom prst="rect">
              <a:avLst/>
            </a:prstGeom>
            <a:noFill/>
            <a:ln>
              <a:noFill/>
            </a:ln>
            <a:effectLst/>
          </xdr:spPr>
          <xdr:txBody>
            <a:bodyPr vertOverflow="clip" horzOverflow="clip" wrap="square" lIns="0" tIns="0" rIns="0" bIns="0" rtlCol="0" anchor="ctr">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en-GB"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105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^5▒B(t−𝑗) )/5≥0,1</a:t>
              </a:r>
              <a:endParaRPr kumimoji="0" lang="lt-LT" sz="16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274449</xdr:colOff>
      <xdr:row>7</xdr:row>
      <xdr:rowOff>177586</xdr:rowOff>
    </xdr:from>
    <xdr:to>
      <xdr:col>4</xdr:col>
      <xdr:colOff>1194660</xdr:colOff>
      <xdr:row>9</xdr:row>
      <xdr:rowOff>354794</xdr:rowOff>
    </xdr:to>
    <mc:AlternateContent xmlns:mc="http://schemas.openxmlformats.org/markup-compatibility/2006" xmlns:a14="http://schemas.microsoft.com/office/drawing/2010/main">
      <mc:Choice Requires="a14">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14:m>
                <m:oMath xmlns:m="http://schemas.openxmlformats.org/officeDocument/2006/math">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d>
                    <m:d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&lt;</m:t>
                  </m:r>
                </m:oMath>
              </a14:m>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14:m>
                <m:oMathPara xmlns:m="http://schemas.openxmlformats.org/officeDocument/2006/math">
                  <m:oMathParaPr>
                    <m:jc m:val="centerGroup"/>
                  </m:oMathParaPr>
                  <m:oMath xmlns:m="http://schemas.openxmlformats.org/officeDocument/2006/math">
                    <m:f>
                      <m:f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num>
                      <m:den>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den>
                    </m:f>
                    <m:nary>
                      <m:naryPr>
                        <m:chr m:val="∑"/>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3"/>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ru-RU"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5</m:t>
                        </m:r>
                      </m:sup>
                      <m:e>
                        <m:r>
                          <m:rPr>
                            <m:sty m:val="p"/>
                          </m:rP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Δ</m:t>
                        </m:r>
                        <m:sSub>
                          <m:sSubPr>
                            <m:ctrl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YN</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E</m:t>
                            </m:r>
                            <m:r>
                              <m:rPr>
                                <m:sty m:val="p"/>
                              </m:rP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S</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𝑗</m:t>
                            </m:r>
                          </m:e>
                        </m:d>
                      </m:e>
                    </m:nary>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+2</m:t>
                    </m:r>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6" name="TextBox 45">
              <a:extLst>
                <a:ext uri="{FF2B5EF4-FFF2-40B4-BE49-F238E27FC236}">
                  <a16:creationId xmlns:a16="http://schemas.microsoft.com/office/drawing/2014/main" id="{EABF12F5-77ED-476E-A997-90BF561017EB}"/>
                </a:ext>
              </a:extLst>
            </xdr:cNvPr>
            <xdr:cNvSpPr txBox="1"/>
          </xdr:nvSpPr>
          <xdr:spPr>
            <a:xfrm>
              <a:off x="7442415" y="1791993"/>
              <a:ext cx="1888855" cy="1000932"/>
            </a:xfrm>
            <a:prstGeom prst="rect">
              <a:avLst/>
            </a:prstGeom>
            <a:noFill/>
            <a:ln>
              <a:noFill/>
            </a:ln>
            <a:effectLst/>
          </xdr:spPr>
          <xdr:txBody>
            <a:bodyPr vertOverflow="clip" horzOverflow="clip" wrap="none" lIns="0" tIns="0" rIns="0" bIns="0" rtlCol="0" anchor="ctr">
              <a:noAutofit/>
            </a:bodyP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l-GR" sz="900" b="0" i="0" u="none" strike="noStrike" kern="0" cap="none" spc="0" normalizeH="0" baseline="0" noProof="0">
                  <a:ln>
                    <a:noFill/>
                  </a:ln>
                  <a:solidFill>
                    <a:sysClr val="windowText" lastClr="000000"/>
                  </a:solidFill>
                  <a:effectLst/>
                  <a:uLnTx/>
                  <a:uFillTx/>
                  <a:latin typeface="Arial" panose="020B0604020202020204"/>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&lt;</a:t>
              </a:r>
              <a:b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b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1/5 ∑</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^5</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l-GR"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Δ</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YN_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E</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S</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 (t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−𝑗) </a:t>
              </a:r>
              <a:r>
                <a:rPr kumimoji="0" lang="ru-RU"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+2</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twoCellAnchor editAs="oneCell">
    <xdr:from>
      <xdr:col>3</xdr:col>
      <xdr:colOff>580496</xdr:colOff>
      <xdr:row>31</xdr:row>
      <xdr:rowOff>738132</xdr:rowOff>
    </xdr:from>
    <xdr:to>
      <xdr:col>4</xdr:col>
      <xdr:colOff>852569</xdr:colOff>
      <xdr:row>33</xdr:row>
      <xdr:rowOff>10433</xdr:rowOff>
    </xdr:to>
    <mc:AlternateContent xmlns:mc="http://schemas.openxmlformats.org/markup-compatibility/2006" xmlns:a14="http://schemas.microsoft.com/office/drawing/2010/main">
      <mc:Choice Requires="a14">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14746" y="11608538"/>
              <a:ext cx="1248386" cy="41530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14:m>
                <m:oMathPara xmlns:m="http://schemas.openxmlformats.org/officeDocument/2006/math">
                  <m:oMathParaPr>
                    <m:jc m:val="centerGroup"/>
                  </m:oMathParaPr>
                  <m:oMath xmlns:m="http://schemas.openxmlformats.org/officeDocument/2006/math">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𝑑</m:t>
                        </m:r>
                      </m:e>
                      <m: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𝑡</m:t>
                        </m:r>
                      </m:sub>
                    </m:sSub>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ad>
                      <m:ra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radPr>
                      <m:deg>
                        <m:r>
                          <m:rPr>
                            <m:brk m:alnAt="7"/>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deg>
                      <m:e>
                        <m:nary>
                          <m:naryPr>
                            <m:chr m:val="∏"/>
                            <m:limLoc m:val="subSup"/>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naryPr>
                          <m:sub>
                            <m:r>
                              <m:rPr>
                                <m:brk m:alnAt="25"/>
                              </m:rP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𝑘</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m:t>
                            </m:r>
                            <m:r>
                              <a:rPr kumimoji="0" lang="lt-LT"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sub>
                          <m:sup>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4</m:t>
                            </m:r>
                          </m:sup>
                          <m:e>
                            <m:f>
                              <m:f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fPr>
                              <m:num>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e>
                                </m:d>
                              </m:num>
                              <m:den>
                                <m:sSub>
                                  <m:sSub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sSub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P</m:t>
                                    </m:r>
                                  </m:e>
                                  <m:sub>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k</m:t>
                                    </m:r>
                                  </m:sub>
                                </m:sSub>
                                <m:d>
                                  <m:dPr>
                                    <m:ctrlP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ctrlPr>
                                  </m:dPr>
                                  <m:e>
                                    <m:r>
                                      <m:rPr>
                                        <m:sty m:val="p"/>
                                      </m:rP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t</m:t>
                                    </m:r>
                                    <m:r>
                                      <a:rPr kumimoji="0" lang="en-US" sz="900" b="0" i="1"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m:t>−1</m:t>
                                    </m:r>
                                  </m:e>
                                </m:d>
                              </m:den>
                            </m:f>
                          </m:e>
                        </m:nary>
                      </m:e>
                    </m:rad>
                  </m:oMath>
                </m:oMathPara>
              </a14:m>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Choice>
      <mc:Fallback xmlns="">
        <xdr:sp macro="" textlink="">
          <xdr:nvSpPr>
            <xdr:cNvPr id="44" name="TextBox 43">
              <a:extLst>
                <a:ext uri="{FF2B5EF4-FFF2-40B4-BE49-F238E27FC236}">
                  <a16:creationId xmlns:a16="http://schemas.microsoft.com/office/drawing/2014/main" id="{61B785E0-D74D-4E0B-946A-C1AF9F09DAEA}"/>
                </a:ext>
              </a:extLst>
            </xdr:cNvPr>
            <xdr:cNvSpPr txBox="1"/>
          </xdr:nvSpPr>
          <xdr:spPr>
            <a:xfrm>
              <a:off x="7914746" y="11608538"/>
              <a:ext cx="1248386" cy="415301"/>
            </a:xfrm>
            <a:prstGeom prst="rect">
              <a:avLst/>
            </a:prstGeom>
            <a:noFill/>
            <a:ln>
              <a:noFill/>
            </a:ln>
            <a:effectLst/>
          </xdr:spPr>
          <xdr:txBody>
            <a:bodyPr vertOverflow="clip" horzOverflow="clip" wrap="none" lIns="0" tIns="0" rIns="0" bIns="0"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𝑑_𝑡=∜(∏2</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_</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𝑘</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a:t>
              </a:r>
              <a:r>
                <a:rPr kumimoji="0" lang="lt-LT"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1</a:t>
              </a:r>
              <a:r>
                <a:rPr kumimoji="0" lang="en-US" sz="900" b="0" i="0" u="none" strike="noStrike" kern="0" cap="none" spc="0" normalizeH="0" baseline="0" noProof="0">
                  <a:ln>
                    <a:noFill/>
                  </a:ln>
                  <a:solidFill>
                    <a:sysClr val="windowText" lastClr="000000"/>
                  </a:solidFill>
                  <a:effectLst/>
                  <a:uLnTx/>
                  <a:uFillTx/>
                  <a:latin typeface="Cambria Math" panose="02040503050406030204" pitchFamily="18" charset="0"/>
                  <a:ea typeface="+mn-ea"/>
                  <a:cs typeface="+mn-cs"/>
                </a:rPr>
                <a:t>)^4▒(P_k (t))/(P_k (t−1) ))</a:t>
              </a:r>
              <a:endParaRPr kumimoji="0" lang="lt-LT" sz="900" b="0" i="0" u="none" strike="noStrike" kern="0" cap="none" spc="0" normalizeH="0" baseline="0" noProof="0">
                <a:ln>
                  <a:noFill/>
                </a:ln>
                <a:solidFill>
                  <a:sysClr val="windowText" lastClr="000000"/>
                </a:solidFill>
                <a:effectLst/>
                <a:uLnTx/>
                <a:uFillTx/>
                <a:latin typeface="Arial" panose="020B0604020202020204"/>
                <a:ea typeface="+mn-ea"/>
                <a:cs typeface="+mn-cs"/>
              </a:endParaRPr>
            </a:p>
          </xdr:txBody>
        </xdr:sp>
      </mc:Fallback>
    </mc:AlternateContent>
    <xdr:clientData/>
  </xdr:twoCellAnchor>
</xdr:wsDr>
</file>

<file path=xl/theme/theme1.xml><?xml version="1.0" encoding="utf-8"?>
<a:theme xmlns:a="http://schemas.openxmlformats.org/drawingml/2006/main" name="„Office“ tema">
  <a:themeElements>
    <a:clrScheme name="par">
      <a:dk1>
        <a:sysClr val="windowText" lastClr="000000"/>
      </a:dk1>
      <a:lt1>
        <a:sysClr val="window" lastClr="FFFFFF"/>
      </a:lt1>
      <a:dk2>
        <a:srgbClr val="44546A"/>
      </a:dk2>
      <a:lt2>
        <a:srgbClr val="D2A0A0"/>
      </a:lt2>
      <a:accent1>
        <a:srgbClr val="192850"/>
      </a:accent1>
      <a:accent2>
        <a:srgbClr val="1469AA"/>
      </a:accent2>
      <a:accent3>
        <a:srgbClr val="64B4CD"/>
      </a:accent3>
      <a:accent4>
        <a:srgbClr val="8C6E87"/>
      </a:accent4>
      <a:accent5>
        <a:srgbClr val="A0BEDC"/>
      </a:accent5>
      <a:accent6>
        <a:srgbClr val="B9CDAA"/>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e-seimas.lrs.lt/portal/legalAct/en/TAD/TAIS.347753?jfwid=-wd7z8myik" TargetMode="External"/><Relationship Id="rId2" Type="http://schemas.openxmlformats.org/officeDocument/2006/relationships/hyperlink" Target="http://www3.lrs.lt/pls/inter3/dokpaieska.showdoc_l?p_id=487269" TargetMode="External"/><Relationship Id="rId1" Type="http://schemas.openxmlformats.org/officeDocument/2006/relationships/hyperlink" Target="http://www3.lrs.lt/pls/inter3/dokpaieska.showdoc_l?p_id=487268&amp;p_tr2=2"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s://e-seimas.lrs.lt/portal/legalAct/lt/TAD/c4be7b32bb6b11e4a939cd67303e5a1f"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A4C121-6EAF-4C24-A89B-0497398ABDFB}">
  <sheetPr codeName="Lapas1">
    <tabColor theme="7" tint="-0.499984740745262"/>
  </sheetPr>
  <dimension ref="B1:H36"/>
  <sheetViews>
    <sheetView showGridLines="0" showRowColHeaders="0" tabSelected="1" workbookViewId="0">
      <selection activeCell="C5" sqref="C5:D5"/>
    </sheetView>
  </sheetViews>
  <sheetFormatPr defaultColWidth="10" defaultRowHeight="14"/>
  <cols>
    <col min="1" max="1" width="0.453125" style="45" customWidth="1"/>
    <col min="2" max="2" width="3.54296875" style="45" customWidth="1"/>
    <col min="3" max="3" width="4.54296875" style="9" customWidth="1"/>
    <col min="4" max="4" width="99.6328125" style="9" customWidth="1"/>
    <col min="5" max="5" width="3.6328125" style="45" customWidth="1"/>
    <col min="6" max="6" width="10" style="45"/>
    <col min="7" max="7" width="10.54296875" style="45" customWidth="1"/>
    <col min="8" max="16384" width="10" style="45"/>
  </cols>
  <sheetData>
    <row r="1" spans="2:7" ht="109.5" customHeight="1" thickBot="1">
      <c r="B1" s="330" t="s">
        <v>333</v>
      </c>
      <c r="C1" s="331"/>
      <c r="D1" s="332"/>
      <c r="E1" s="333"/>
    </row>
    <row r="2" spans="2:7">
      <c r="C2" s="57"/>
      <c r="D2" s="58"/>
      <c r="E2" s="59"/>
    </row>
    <row r="3" spans="2:7" ht="35.25" customHeight="1">
      <c r="C3" s="334" t="s">
        <v>0</v>
      </c>
      <c r="D3" s="335"/>
      <c r="E3" s="60"/>
    </row>
    <row r="4" spans="2:7">
      <c r="C4" s="61"/>
      <c r="D4" s="62"/>
      <c r="E4" s="63"/>
    </row>
    <row r="5" spans="2:7" ht="16.25" customHeight="1">
      <c r="C5" s="336" t="s">
        <v>334</v>
      </c>
      <c r="D5" s="337"/>
      <c r="E5" s="63"/>
      <c r="G5" s="51"/>
    </row>
    <row r="6" spans="2:7">
      <c r="C6" s="61"/>
      <c r="D6" s="62"/>
      <c r="E6" s="63"/>
    </row>
    <row r="7" spans="2:7" ht="17.5">
      <c r="C7" s="338" t="s">
        <v>1</v>
      </c>
      <c r="D7" s="339"/>
      <c r="E7" s="64"/>
    </row>
    <row r="8" spans="2:7">
      <c r="C8" s="61"/>
      <c r="D8" s="62"/>
      <c r="E8" s="63"/>
    </row>
    <row r="9" spans="2:7" ht="171.75" customHeight="1">
      <c r="C9" s="61"/>
      <c r="D9" s="290" t="s">
        <v>314</v>
      </c>
      <c r="E9" s="65"/>
    </row>
    <row r="10" spans="2:7">
      <c r="C10" s="61"/>
      <c r="D10" s="62"/>
      <c r="E10" s="63"/>
    </row>
    <row r="11" spans="2:7" ht="17.5">
      <c r="C11" s="338" t="s">
        <v>256</v>
      </c>
      <c r="D11" s="339"/>
      <c r="E11" s="64"/>
    </row>
    <row r="12" spans="2:7">
      <c r="C12" s="61"/>
      <c r="D12" s="62"/>
      <c r="E12" s="63"/>
    </row>
    <row r="13" spans="2:7">
      <c r="C13" s="61"/>
      <c r="D13" s="66" t="s">
        <v>2</v>
      </c>
      <c r="E13" s="63"/>
    </row>
    <row r="14" spans="2:7">
      <c r="C14" s="61"/>
      <c r="D14" s="62"/>
      <c r="E14" s="63"/>
    </row>
    <row r="15" spans="2:7" ht="17.5">
      <c r="C15" s="338" t="s">
        <v>3</v>
      </c>
      <c r="D15" s="339"/>
      <c r="E15" s="64"/>
    </row>
    <row r="16" spans="2:7">
      <c r="C16" s="61"/>
      <c r="D16" s="62"/>
      <c r="E16" s="63"/>
    </row>
    <row r="17" spans="3:8">
      <c r="C17" s="61"/>
      <c r="D17" s="66" t="s">
        <v>4</v>
      </c>
      <c r="E17" s="63"/>
    </row>
    <row r="18" spans="3:8">
      <c r="C18" s="61"/>
      <c r="D18" s="66" t="s">
        <v>5</v>
      </c>
      <c r="E18" s="63"/>
    </row>
    <row r="19" spans="3:8">
      <c r="C19" s="61"/>
      <c r="D19" s="62"/>
      <c r="E19" s="63"/>
    </row>
    <row r="20" spans="3:8" ht="17.5">
      <c r="C20" s="338" t="s">
        <v>6</v>
      </c>
      <c r="D20" s="339"/>
      <c r="E20" s="64"/>
    </row>
    <row r="21" spans="3:8">
      <c r="C21" s="61"/>
      <c r="D21" s="62"/>
      <c r="E21" s="63"/>
    </row>
    <row r="22" spans="3:8">
      <c r="C22" s="61"/>
      <c r="D22" s="66" t="s">
        <v>7</v>
      </c>
      <c r="E22" s="63"/>
      <c r="H22" s="45" t="s">
        <v>313</v>
      </c>
    </row>
    <row r="23" spans="3:8">
      <c r="C23" s="61"/>
      <c r="D23" s="66" t="s">
        <v>8</v>
      </c>
      <c r="E23" s="63"/>
    </row>
    <row r="24" spans="3:8">
      <c r="C24" s="61"/>
      <c r="D24" s="66" t="s">
        <v>9</v>
      </c>
      <c r="E24" s="63"/>
    </row>
    <row r="25" spans="3:8">
      <c r="C25" s="61"/>
      <c r="D25" s="66"/>
      <c r="E25" s="63"/>
    </row>
    <row r="26" spans="3:8" ht="17.5">
      <c r="C26" s="338" t="s">
        <v>306</v>
      </c>
      <c r="D26" s="339"/>
      <c r="E26" s="64"/>
    </row>
    <row r="27" spans="3:8" ht="11.4" customHeight="1">
      <c r="C27" s="283"/>
      <c r="D27" s="284"/>
      <c r="E27" s="285"/>
    </row>
    <row r="28" spans="3:8">
      <c r="C28" s="61"/>
      <c r="D28" s="286" t="s">
        <v>307</v>
      </c>
      <c r="E28" s="63"/>
    </row>
    <row r="29" spans="3:8">
      <c r="C29" s="61"/>
      <c r="D29" s="62"/>
      <c r="E29" s="63"/>
    </row>
    <row r="30" spans="3:8" ht="17.5">
      <c r="C30" s="338" t="s">
        <v>10</v>
      </c>
      <c r="D30" s="339"/>
      <c r="E30" s="64"/>
    </row>
    <row r="31" spans="3:8">
      <c r="C31" s="61"/>
      <c r="D31" s="62"/>
      <c r="E31" s="63"/>
    </row>
    <row r="32" spans="3:8">
      <c r="C32" s="61" t="s">
        <v>11</v>
      </c>
      <c r="D32" s="67" t="s">
        <v>12</v>
      </c>
      <c r="E32" s="63"/>
    </row>
    <row r="33" spans="3:5" ht="14.5">
      <c r="C33" s="68" t="s">
        <v>13</v>
      </c>
      <c r="D33" s="69" t="s">
        <v>14</v>
      </c>
      <c r="E33" s="63"/>
    </row>
    <row r="34" spans="3:5">
      <c r="C34" s="61" t="s">
        <v>15</v>
      </c>
      <c r="D34" s="67" t="s">
        <v>16</v>
      </c>
      <c r="E34" s="63"/>
    </row>
    <row r="35" spans="3:5" ht="14.5">
      <c r="C35" s="68" t="s">
        <v>17</v>
      </c>
      <c r="D35" s="69" t="s">
        <v>18</v>
      </c>
      <c r="E35" s="63"/>
    </row>
    <row r="36" spans="3:5" ht="9.65" customHeight="1" thickBot="1">
      <c r="C36" s="70"/>
      <c r="D36" s="71"/>
      <c r="E36" s="72"/>
    </row>
  </sheetData>
  <mergeCells count="9">
    <mergeCell ref="C1:E1"/>
    <mergeCell ref="C3:D3"/>
    <mergeCell ref="C5:D5"/>
    <mergeCell ref="C7:D7"/>
    <mergeCell ref="C30:D30"/>
    <mergeCell ref="C11:D11"/>
    <mergeCell ref="C15:D15"/>
    <mergeCell ref="C20:D20"/>
    <mergeCell ref="C26:D26"/>
  </mergeCells>
  <hyperlinks>
    <hyperlink ref="D17" location="'2. Macro'!A1" display="2. Makroekonominiai ir ciklo rodikliai / Macroeconomic and cyclical indicators" xr:uid="{DBF464BC-73E9-44C3-A94E-B343ACF238AF}"/>
    <hyperlink ref="D13" location="'1. Summary'!A1" display="1 lentelė. Fiskalinės drausmės taisyklių laikymosi suvestinė" xr:uid="{AEF63D21-93EE-4580-A93C-5F7556B874F7}"/>
    <hyperlink ref="D18" location="'3. GGbudget'!A1" display="3 lentelė. VS fiskaliniai rodikliai" xr:uid="{BDB2AEA3-417F-4710-8932-34AFAE77AEA2}"/>
    <hyperlink ref="D22" location="'4. SurplusGG'!A1" display="4 lentelė. Perteklinio VS taisyklė" xr:uid="{B039EE87-0B52-4BB5-819B-8154EEA0AEBB}"/>
    <hyperlink ref="D23" location="'5. GGexpenditure'!A1" display="5 lentelė. VS išlaidų augimo ribojimo taisyklė" xr:uid="{9CB7E7FD-E64A-4E3D-B843-517140A4F465}"/>
    <hyperlink ref="D24" location="'6. GGbudgets'!A1" display="6 lentelė. VS priskiriamų biudžetų taisyklė" xr:uid="{9619B179-650F-40CC-8D91-91DBA72A91EC}"/>
    <hyperlink ref="D32" r:id="rId1" display="http://www3.lrs.lt/pls/inter3/dokpaieska.showdoc_l?p_id=487268&amp;p_tr2=2" xr:uid="{DDC9A2C8-E1C0-4CF4-BC74-7FF78E256ED8}"/>
    <hyperlink ref="D34" r:id="rId2" display="Lietuvos Respublikos fiskalinės drausmės įstatymas" xr:uid="{F4FFA9C7-1444-4704-90F5-2ECFABD928E1}"/>
    <hyperlink ref="D35" r:id="rId3" xr:uid="{3C5B1BA1-E78A-448A-B1EF-3C53FDDD686B}"/>
    <hyperlink ref="D33" r:id="rId4" xr:uid="{AB0085CB-F5E8-4B40-995B-4E4EFCC9A3FD}"/>
    <hyperlink ref="D28" location="'7. History'!A1" display="7. Istorinis taisyklių laikymasis / Historical adherence to fiscal rules" xr:uid="{B7035896-7775-4191-A1D3-81E3D9E3D154}"/>
  </hyperlinks>
  <pageMargins left="0.7" right="0.7" top="0.75" bottom="0.75" header="0.3" footer="0.3"/>
  <pageSetup orientation="portrait" r:id="rId5"/>
  <drawing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D5CE57-DFC5-4CBB-82A9-BAA12C02B2A6}">
  <sheetPr codeName="Lapas2">
    <tabColor theme="7"/>
  </sheetPr>
  <dimension ref="A1:E33"/>
  <sheetViews>
    <sheetView showGridLines="0" showRowColHeaders="0" zoomScaleNormal="100" workbookViewId="0"/>
  </sheetViews>
  <sheetFormatPr defaultColWidth="10" defaultRowHeight="14"/>
  <cols>
    <col min="1" max="1" width="4.36328125" style="1" customWidth="1"/>
    <col min="2" max="2" width="59.08984375" style="5" customWidth="1"/>
    <col min="3" max="4" width="19.453125" style="5" customWidth="1"/>
    <col min="5" max="5" width="9.453125" style="1" customWidth="1"/>
    <col min="6" max="6" width="51.6328125" style="1" customWidth="1"/>
    <col min="7" max="16384" width="10" style="1"/>
  </cols>
  <sheetData>
    <row r="1" spans="1:4">
      <c r="B1" s="73" t="s">
        <v>19</v>
      </c>
      <c r="C1" s="3"/>
      <c r="D1" s="3"/>
    </row>
    <row r="2" spans="1:4" ht="14.5" thickBot="1">
      <c r="A2" s="4" t="s">
        <v>20</v>
      </c>
    </row>
    <row r="3" spans="1:4" ht="35.25" customHeight="1" thickTop="1" thickBot="1">
      <c r="B3" s="345" t="s">
        <v>279</v>
      </c>
      <c r="C3" s="346"/>
      <c r="D3" s="347"/>
    </row>
    <row r="4" spans="1:4" ht="17.25" customHeight="1" thickBot="1">
      <c r="B4" s="180" t="s">
        <v>21</v>
      </c>
      <c r="C4" s="351"/>
      <c r="D4" s="352"/>
    </row>
    <row r="5" spans="1:4" ht="33" customHeight="1" thickBot="1">
      <c r="B5" s="181" t="s">
        <v>22</v>
      </c>
      <c r="C5" s="103" t="s">
        <v>23</v>
      </c>
      <c r="D5" s="110" t="s">
        <v>24</v>
      </c>
    </row>
    <row r="6" spans="1:4" ht="17.25" customHeight="1">
      <c r="B6" s="182" t="s">
        <v>28</v>
      </c>
      <c r="C6" s="355" t="str">
        <f>'4. SurplusGG'!E6</f>
        <v>Taip</v>
      </c>
      <c r="D6" s="356"/>
    </row>
    <row r="7" spans="1:4" ht="17.25" customHeight="1" thickBot="1">
      <c r="B7" s="183" t="s">
        <v>29</v>
      </c>
      <c r="C7" s="357" t="str">
        <f>'4. SurplusGG'!E7</f>
        <v>Yes</v>
      </c>
      <c r="D7" s="358"/>
    </row>
    <row r="8" spans="1:4" ht="17.399999999999999" customHeight="1" thickBot="1">
      <c r="B8" s="348" t="s">
        <v>25</v>
      </c>
      <c r="C8" s="349"/>
      <c r="D8" s="350"/>
    </row>
    <row r="9" spans="1:4" ht="17.399999999999999" customHeight="1" thickBot="1">
      <c r="B9" s="343" t="s">
        <v>26</v>
      </c>
      <c r="C9" s="104" t="str">
        <f>'4. SurplusGG'!E20</f>
        <v>Netaikoma</v>
      </c>
      <c r="D9" s="108" t="str">
        <f>'4. SurplusGG'!F20</f>
        <v>Netaikoma</v>
      </c>
    </row>
    <row r="10" spans="1:4" ht="53.4" customHeight="1">
      <c r="B10" s="344"/>
      <c r="C10" s="106" t="str">
        <f>'4. SurplusGG'!E21</f>
        <v>Paskelbtos išskirtinės aplinkybės</v>
      </c>
      <c r="D10" s="107" t="str">
        <f>'4. SurplusGG'!F21</f>
        <v>Paskelbtos išskirtinės aplinkybės</v>
      </c>
    </row>
    <row r="11" spans="1:4" ht="15.75" customHeight="1" thickBot="1">
      <c r="B11" s="353" t="s">
        <v>27</v>
      </c>
      <c r="C11" s="149" t="str">
        <f>'4. SurplusGG'!E22</f>
        <v>Not applicable</v>
      </c>
      <c r="D11" s="179" t="str">
        <f>'4. SurplusGG'!F22</f>
        <v>Not applicable</v>
      </c>
    </row>
    <row r="12" spans="1:4" ht="33" customHeight="1" thickBot="1">
      <c r="B12" s="354"/>
      <c r="C12" s="105" t="str">
        <f>'4. SurplusGG'!E23</f>
        <v>Exceptional circumstances</v>
      </c>
      <c r="D12" s="109" t="str">
        <f>'4. SurplusGG'!F23</f>
        <v>Exceptional circumstances</v>
      </c>
    </row>
    <row r="13" spans="1:4" ht="21" customHeight="1" thickBot="1">
      <c r="B13" s="340" t="s">
        <v>30</v>
      </c>
      <c r="C13" s="341"/>
      <c r="D13" s="342"/>
    </row>
    <row r="14" spans="1:4" ht="18" customHeight="1" thickBot="1">
      <c r="B14" s="363" t="s">
        <v>31</v>
      </c>
      <c r="C14" s="104" t="str">
        <f>'5. GGexpenditure'!F23</f>
        <v>Taip</v>
      </c>
      <c r="D14" s="108" t="str">
        <f>'5. GGexpenditure'!G23</f>
        <v>Taip</v>
      </c>
    </row>
    <row r="15" spans="1:4" ht="48.75" customHeight="1">
      <c r="B15" s="364"/>
      <c r="C15" s="106" t="str">
        <f>'5. GGexpenditure'!F24</f>
        <v>Susidaro A1 A5 aplinkybės</v>
      </c>
      <c r="D15" s="107" t="str">
        <f>'5. GGexpenditure'!G24</f>
        <v>Susidaro A1 A5 aplinkybės</v>
      </c>
    </row>
    <row r="16" spans="1:4" ht="18" customHeight="1">
      <c r="B16" s="365" t="s">
        <v>32</v>
      </c>
      <c r="C16" s="149" t="str">
        <f>'5. GGexpenditure'!F25</f>
        <v>Yes</v>
      </c>
      <c r="D16" s="179" t="str">
        <f>'5. GGexpenditure'!G25</f>
        <v>Yes</v>
      </c>
    </row>
    <row r="17" spans="2:5" ht="52.5" customHeight="1" thickBot="1">
      <c r="B17" s="366"/>
      <c r="C17" s="105" t="str">
        <f>'5. GGexpenditure'!F26</f>
        <v>Escape clauses A1 A5 emerge</v>
      </c>
      <c r="D17" s="109" t="str">
        <f>'5. GGexpenditure'!G26</f>
        <v>Escape clauses A1 A5 emerge</v>
      </c>
    </row>
    <row r="18" spans="2:5" ht="22.5" customHeight="1">
      <c r="B18" s="364" t="s">
        <v>33</v>
      </c>
      <c r="C18" s="104" t="str">
        <f>'5. GGexpenditure'!F31</f>
        <v>Netaikoma</v>
      </c>
      <c r="D18" s="108" t="str">
        <f>'5. GGexpenditure'!G31</f>
        <v>Netaikoma</v>
      </c>
    </row>
    <row r="19" spans="2:5" ht="69" customHeight="1">
      <c r="B19" s="367"/>
      <c r="C19" s="106" t="str">
        <f>'5. GGexpenditure'!F32</f>
        <v>Paskelbtos išskirtinės aplinkybės</v>
      </c>
      <c r="D19" s="107" t="str">
        <f>'5. GGexpenditure'!G32</f>
        <v>Paskelbtos išskirtinės aplinkybės</v>
      </c>
    </row>
    <row r="20" spans="2:5" ht="14.5">
      <c r="B20" s="365" t="s">
        <v>34</v>
      </c>
      <c r="C20" s="149" t="str">
        <f>'5. GGexpenditure'!F33</f>
        <v>Not applied</v>
      </c>
      <c r="D20" s="179" t="str">
        <f>'5. GGexpenditure'!G33</f>
        <v>Not applied</v>
      </c>
    </row>
    <row r="21" spans="2:5" ht="64.5" customHeight="1" thickBot="1">
      <c r="B21" s="366"/>
      <c r="C21" s="105" t="str">
        <f>'5. GGexpenditure'!F34</f>
        <v>Exceptional Circumstances</v>
      </c>
      <c r="D21" s="109" t="str">
        <f>'5. GGexpenditure'!G34</f>
        <v>Exceptional Circumstances</v>
      </c>
    </row>
    <row r="22" spans="2:5" ht="19.5" customHeight="1">
      <c r="B22" s="184" t="s">
        <v>35</v>
      </c>
      <c r="C22" s="104" t="str">
        <f>'5. GGexpenditure'!F31</f>
        <v>Netaikoma</v>
      </c>
      <c r="D22" s="108" t="str">
        <f>'5. GGexpenditure'!G31</f>
        <v>Netaikoma</v>
      </c>
    </row>
    <row r="23" spans="2:5" ht="15" thickBot="1">
      <c r="B23" s="183" t="s">
        <v>36</v>
      </c>
      <c r="C23" s="105" t="str">
        <f>'5. GGexpenditure'!F33</f>
        <v>Not applied</v>
      </c>
      <c r="D23" s="109" t="str">
        <f>'5. GGexpenditure'!G33</f>
        <v>Not applied</v>
      </c>
    </row>
    <row r="24" spans="2:5" ht="15.75" customHeight="1" thickBot="1">
      <c r="B24" s="340" t="s">
        <v>37</v>
      </c>
      <c r="C24" s="341" t="s">
        <v>38</v>
      </c>
      <c r="D24" s="342"/>
    </row>
    <row r="25" spans="2:5">
      <c r="B25" s="184" t="s">
        <v>39</v>
      </c>
      <c r="C25" s="104" t="str">
        <f>'6. GGbudgets'!E9</f>
        <v>Tenkinama</v>
      </c>
      <c r="D25" s="108" t="str">
        <f>'6. GGbudgets'!F9</f>
        <v>Tenkinama</v>
      </c>
    </row>
    <row r="26" spans="2:5" ht="15" thickBot="1">
      <c r="B26" s="183" t="s">
        <v>40</v>
      </c>
      <c r="C26" s="105" t="str">
        <f>'6. GGbudgets'!E10</f>
        <v>Valid</v>
      </c>
      <c r="D26" s="109" t="str">
        <f>'6. GGbudgets'!F10</f>
        <v>Valid</v>
      </c>
    </row>
    <row r="27" spans="2:5">
      <c r="B27" s="184" t="s">
        <v>41</v>
      </c>
      <c r="C27" s="104" t="str">
        <f>'6. GGbudgets'!E17</f>
        <v>Tenkinama</v>
      </c>
      <c r="D27" s="108" t="str">
        <f>'6. GGbudgets'!F17</f>
        <v>Tenkinama</v>
      </c>
    </row>
    <row r="28" spans="2:5" ht="15" thickBot="1">
      <c r="B28" s="185" t="s">
        <v>42</v>
      </c>
      <c r="C28" s="105" t="str">
        <f>'6. GGbudgets'!E18</f>
        <v>Valid</v>
      </c>
      <c r="D28" s="109" t="str">
        <f>'6. GGbudgets'!F18</f>
        <v>Valid</v>
      </c>
    </row>
    <row r="29" spans="2:5">
      <c r="B29" s="34"/>
      <c r="C29" s="34"/>
      <c r="D29" s="34"/>
    </row>
    <row r="30" spans="2:5" ht="15" thickBot="1">
      <c r="B30" s="6" t="s">
        <v>43</v>
      </c>
      <c r="C30" s="6"/>
      <c r="D30" s="6"/>
      <c r="E30" s="38" t="s">
        <v>44</v>
      </c>
    </row>
    <row r="31" spans="2:5" ht="15.5" thickTop="1" thickBot="1">
      <c r="B31" s="7" t="s">
        <v>45</v>
      </c>
      <c r="C31" s="359" t="s">
        <v>23</v>
      </c>
      <c r="D31" s="360"/>
      <c r="E31" s="38" t="s">
        <v>46</v>
      </c>
    </row>
    <row r="32" spans="2:5" ht="15" thickBot="1">
      <c r="B32" s="7" t="s">
        <v>47</v>
      </c>
      <c r="C32" s="361" t="s">
        <v>24</v>
      </c>
      <c r="D32" s="362"/>
      <c r="E32" s="38" t="s">
        <v>48</v>
      </c>
    </row>
    <row r="33" ht="14.5" thickTop="1"/>
  </sheetData>
  <mergeCells count="15">
    <mergeCell ref="B24:D24"/>
    <mergeCell ref="C31:D31"/>
    <mergeCell ref="C32:D32"/>
    <mergeCell ref="B14:B15"/>
    <mergeCell ref="B16:B17"/>
    <mergeCell ref="B20:B21"/>
    <mergeCell ref="B18:B19"/>
    <mergeCell ref="B13:D13"/>
    <mergeCell ref="B9:B10"/>
    <mergeCell ref="B3:D3"/>
    <mergeCell ref="B8:D8"/>
    <mergeCell ref="C4:D4"/>
    <mergeCell ref="B11:B12"/>
    <mergeCell ref="C6:D6"/>
    <mergeCell ref="C7:D7"/>
  </mergeCells>
  <hyperlinks>
    <hyperlink ref="B1" location="Content!A1" display="↖ atgal į turinį" xr:uid="{16A60619-3E68-4079-A181-2B68AB29D2D4}"/>
  </hyperlink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2A9273-8DEC-4A65-BBA5-16C15FB3E7E0}">
  <sheetPr codeName="Lapas3">
    <tabColor theme="7"/>
  </sheetPr>
  <dimension ref="A1:Y61"/>
  <sheetViews>
    <sheetView showGridLines="0" showRowColHeaders="0" zoomScaleNormal="100" workbookViewId="0">
      <pane ySplit="5" topLeftCell="A6" activePane="bottomLeft" state="frozen"/>
      <selection pane="bottomLeft"/>
    </sheetView>
  </sheetViews>
  <sheetFormatPr defaultColWidth="10" defaultRowHeight="14"/>
  <cols>
    <col min="1" max="1" width="4.54296875" style="1" customWidth="1"/>
    <col min="2" max="2" width="51.36328125" style="1" customWidth="1"/>
    <col min="3" max="3" width="40.90625" style="1" customWidth="1"/>
    <col min="4" max="4" width="21.08984375" style="1" customWidth="1"/>
    <col min="5" max="7" width="11.453125" style="1" customWidth="1"/>
    <col min="8" max="8" width="11.6328125" style="1" customWidth="1"/>
    <col min="9" max="11" width="11.453125" style="1" customWidth="1"/>
    <col min="12" max="12" width="11.6328125" style="45" customWidth="1"/>
    <col min="13" max="15" width="11.453125" style="45" customWidth="1"/>
    <col min="16" max="16384" width="10" style="1"/>
  </cols>
  <sheetData>
    <row r="1" spans="1:19">
      <c r="B1" s="73" t="s">
        <v>19</v>
      </c>
      <c r="C1" s="3"/>
      <c r="D1" s="3"/>
    </row>
    <row r="2" spans="1:19">
      <c r="A2" s="8" t="s">
        <v>20</v>
      </c>
      <c r="B2" s="9"/>
      <c r="C2" s="9"/>
    </row>
    <row r="3" spans="1:19" ht="40.25" customHeight="1" thickBot="1">
      <c r="B3" s="379" t="s">
        <v>49</v>
      </c>
      <c r="C3" s="380"/>
      <c r="D3" s="380"/>
      <c r="E3" s="380"/>
      <c r="F3" s="380"/>
      <c r="G3" s="380"/>
      <c r="H3" s="380"/>
      <c r="I3" s="380"/>
      <c r="J3" s="380"/>
      <c r="K3" s="380"/>
      <c r="L3" s="380"/>
      <c r="M3" s="380"/>
      <c r="N3" s="380"/>
      <c r="O3" s="380"/>
      <c r="P3" s="380"/>
    </row>
    <row r="4" spans="1:19" ht="23" customHeight="1" thickBot="1">
      <c r="B4" s="376" t="s">
        <v>50</v>
      </c>
      <c r="C4" s="351" t="s">
        <v>51</v>
      </c>
      <c r="D4" s="377" t="s">
        <v>52</v>
      </c>
      <c r="E4" s="381"/>
      <c r="F4" s="382"/>
      <c r="G4" s="382"/>
      <c r="H4" s="382"/>
      <c r="I4" s="382"/>
      <c r="J4" s="382"/>
      <c r="K4" s="382"/>
      <c r="L4" s="383"/>
      <c r="M4" s="384" t="s">
        <v>305</v>
      </c>
      <c r="N4" s="385"/>
      <c r="O4" s="385"/>
      <c r="P4" s="385"/>
    </row>
    <row r="5" spans="1:19" ht="20.25" customHeight="1" thickBot="1">
      <c r="B5" s="376"/>
      <c r="C5" s="351"/>
      <c r="D5" s="377"/>
      <c r="E5" s="76">
        <f>2017</f>
        <v>2017</v>
      </c>
      <c r="F5" s="76">
        <f>E5+1</f>
        <v>2018</v>
      </c>
      <c r="G5" s="76">
        <f t="shared" ref="G5:L5" si="0">F5+1</f>
        <v>2019</v>
      </c>
      <c r="H5" s="76">
        <f t="shared" si="0"/>
        <v>2020</v>
      </c>
      <c r="I5" s="76">
        <f t="shared" si="0"/>
        <v>2021</v>
      </c>
      <c r="J5" s="76">
        <f t="shared" si="0"/>
        <v>2022</v>
      </c>
      <c r="K5" s="76">
        <f t="shared" si="0"/>
        <v>2023</v>
      </c>
      <c r="L5" s="76">
        <f t="shared" si="0"/>
        <v>2024</v>
      </c>
      <c r="M5" s="76" t="str">
        <f>CONCATENATE(K5+2,"P")</f>
        <v>2025P</v>
      </c>
      <c r="N5" s="76" t="str">
        <f>CONCATENATE(K5+3,"P")</f>
        <v>2026P</v>
      </c>
      <c r="O5" s="95" t="str">
        <f>CONCATENATE(K5+4,"P")</f>
        <v>2027P</v>
      </c>
      <c r="P5" s="95" t="str">
        <f>CONCATENATE(K5+5,"P")</f>
        <v>2028P</v>
      </c>
    </row>
    <row r="6" spans="1:19" ht="14.5" thickBot="1">
      <c r="B6" s="96" t="s">
        <v>53</v>
      </c>
      <c r="C6" s="77" t="s">
        <v>54</v>
      </c>
      <c r="D6" s="78"/>
      <c r="E6" s="79" t="s">
        <v>246</v>
      </c>
      <c r="F6" s="79" t="s">
        <v>247</v>
      </c>
      <c r="G6" s="79" t="s">
        <v>248</v>
      </c>
      <c r="H6" s="79" t="s">
        <v>249</v>
      </c>
      <c r="I6" s="79" t="s">
        <v>250</v>
      </c>
      <c r="J6" s="79" t="s">
        <v>55</v>
      </c>
      <c r="K6" s="79" t="s">
        <v>56</v>
      </c>
      <c r="L6" s="79" t="s">
        <v>57</v>
      </c>
      <c r="M6" s="79" t="s">
        <v>58</v>
      </c>
      <c r="N6" s="79" t="s">
        <v>59</v>
      </c>
      <c r="O6" s="79" t="s">
        <v>324</v>
      </c>
      <c r="P6" s="79" t="s">
        <v>327</v>
      </c>
    </row>
    <row r="7" spans="1:19" ht="14.5" thickBot="1">
      <c r="B7" s="373" t="s">
        <v>60</v>
      </c>
      <c r="C7" s="378" t="s">
        <v>61</v>
      </c>
      <c r="D7" s="80">
        <v>45716</v>
      </c>
      <c r="E7" s="186">
        <v>42274.6</v>
      </c>
      <c r="F7" s="186">
        <v>45947.5</v>
      </c>
      <c r="G7" s="186">
        <v>49239.199999999997</v>
      </c>
      <c r="H7" s="186">
        <v>50264.6</v>
      </c>
      <c r="I7" s="186">
        <v>56679.7</v>
      </c>
      <c r="J7" s="186">
        <v>67455.5</v>
      </c>
      <c r="K7" s="186">
        <v>73792.800000000003</v>
      </c>
      <c r="L7" s="186">
        <v>77939.899999999994</v>
      </c>
      <c r="M7" s="187">
        <v>82850</v>
      </c>
      <c r="N7" s="187">
        <v>87634.4</v>
      </c>
      <c r="O7" s="188">
        <v>92579.4</v>
      </c>
      <c r="P7" s="188">
        <v>97675.1</v>
      </c>
    </row>
    <row r="8" spans="1:19" ht="14.5" thickBot="1">
      <c r="B8" s="374"/>
      <c r="C8" s="378"/>
      <c r="D8" s="80">
        <v>45716</v>
      </c>
      <c r="E8" s="186">
        <v>42274.6</v>
      </c>
      <c r="F8" s="186">
        <v>45947.5</v>
      </c>
      <c r="G8" s="186">
        <v>49239.199999999997</v>
      </c>
      <c r="H8" s="186">
        <v>50264.6</v>
      </c>
      <c r="I8" s="186">
        <v>56679.7</v>
      </c>
      <c r="J8" s="186">
        <v>67455.5</v>
      </c>
      <c r="K8" s="186">
        <v>73792.800000000003</v>
      </c>
      <c r="L8" s="186">
        <f t="shared" ref="L8:O8" si="1">L7</f>
        <v>77939.899999999994</v>
      </c>
      <c r="M8" s="187">
        <f t="shared" si="1"/>
        <v>82850</v>
      </c>
      <c r="N8" s="187">
        <f t="shared" si="1"/>
        <v>87634.4</v>
      </c>
      <c r="O8" s="188">
        <f t="shared" si="1"/>
        <v>92579.4</v>
      </c>
      <c r="P8" s="188">
        <f t="shared" ref="P8" si="2">P7</f>
        <v>97675.1</v>
      </c>
    </row>
    <row r="9" spans="1:19" ht="14.5" thickBot="1">
      <c r="B9" s="373" t="s">
        <v>62</v>
      </c>
      <c r="C9" s="368" t="s">
        <v>63</v>
      </c>
      <c r="D9" s="80">
        <f>$D$7</f>
        <v>45716</v>
      </c>
      <c r="E9" s="189"/>
      <c r="F9" s="189">
        <f>(F7/E7-1)*100</f>
        <v>8.6881957487474857</v>
      </c>
      <c r="G9" s="189">
        <f t="shared" ref="G9:J9" si="3">(G7/F7-1)*100</f>
        <v>7.1640459219761699</v>
      </c>
      <c r="H9" s="189">
        <f t="shared" si="3"/>
        <v>2.0824871240800125</v>
      </c>
      <c r="I9" s="189">
        <f t="shared" si="3"/>
        <v>12.762660003262738</v>
      </c>
      <c r="J9" s="189">
        <f t="shared" si="3"/>
        <v>19.011744945721311</v>
      </c>
      <c r="K9" s="189">
        <f>(K7/J7-1)*100</f>
        <v>9.3947861923786782</v>
      </c>
      <c r="L9" s="321">
        <f>(L7/K7-1)*100</f>
        <v>5.6199249791307526</v>
      </c>
      <c r="M9" s="187">
        <f t="shared" ref="L9:N10" si="4">(M7/L7-1)*100</f>
        <v>6.2998541183655776</v>
      </c>
      <c r="N9" s="187">
        <f t="shared" si="4"/>
        <v>5.7747736873868361</v>
      </c>
      <c r="O9" s="188">
        <f>(O7/N7-1)*100</f>
        <v>5.6427612900870061</v>
      </c>
      <c r="P9" s="188">
        <f>(P7/O7-1)*100</f>
        <v>5.5041402298999786</v>
      </c>
    </row>
    <row r="10" spans="1:19" ht="14.5" thickBot="1">
      <c r="B10" s="374"/>
      <c r="C10" s="368"/>
      <c r="D10" s="80">
        <f>$D$8</f>
        <v>45716</v>
      </c>
      <c r="E10" s="189"/>
      <c r="F10" s="189">
        <f>(F8/E8-1)*100</f>
        <v>8.6881957487474857</v>
      </c>
      <c r="G10" s="189">
        <f t="shared" ref="G10:K10" si="5">(G8/F8-1)*100</f>
        <v>7.1640459219761699</v>
      </c>
      <c r="H10" s="189">
        <f t="shared" si="5"/>
        <v>2.0824871240800125</v>
      </c>
      <c r="I10" s="189">
        <f t="shared" si="5"/>
        <v>12.762660003262738</v>
      </c>
      <c r="J10" s="189">
        <f t="shared" si="5"/>
        <v>19.011744945721311</v>
      </c>
      <c r="K10" s="189">
        <f t="shared" si="5"/>
        <v>9.3947861923786782</v>
      </c>
      <c r="L10" s="321">
        <f t="shared" si="4"/>
        <v>5.6199249791307526</v>
      </c>
      <c r="M10" s="187">
        <f>(M8/L8-1)*100</f>
        <v>6.2998541183655776</v>
      </c>
      <c r="N10" s="187">
        <f t="shared" si="4"/>
        <v>5.7747736873868361</v>
      </c>
      <c r="O10" s="188">
        <f>(O8/N8-1)*100</f>
        <v>5.6427612900870061</v>
      </c>
      <c r="P10" s="188">
        <f>(P8/O8-1)*100</f>
        <v>5.5041402298999786</v>
      </c>
    </row>
    <row r="11" spans="1:19" ht="14.5" thickBot="1">
      <c r="B11" s="373" t="s">
        <v>64</v>
      </c>
      <c r="C11" s="368" t="s">
        <v>65</v>
      </c>
      <c r="D11" s="80">
        <f>$D$7</f>
        <v>45716</v>
      </c>
      <c r="E11" s="186">
        <v>48492.800000000003</v>
      </c>
      <c r="F11" s="186">
        <v>50877.8</v>
      </c>
      <c r="G11" s="186">
        <v>53257.7</v>
      </c>
      <c r="H11" s="186">
        <v>53280.4</v>
      </c>
      <c r="I11" s="186">
        <v>56679.7</v>
      </c>
      <c r="J11" s="186">
        <v>58117.9</v>
      </c>
      <c r="K11" s="186">
        <v>58316.7</v>
      </c>
      <c r="L11" s="186">
        <v>59907.3</v>
      </c>
      <c r="M11" s="187">
        <v>61601.9</v>
      </c>
      <c r="N11" s="187">
        <v>63381.1</v>
      </c>
      <c r="O11" s="188">
        <v>65191.7</v>
      </c>
      <c r="P11" s="188">
        <v>67035.5</v>
      </c>
    </row>
    <row r="12" spans="1:19" ht="14.5" thickBot="1">
      <c r="B12" s="374"/>
      <c r="C12" s="368"/>
      <c r="D12" s="80">
        <f>D10</f>
        <v>45716</v>
      </c>
      <c r="E12" s="186">
        <v>48492.800000000003</v>
      </c>
      <c r="F12" s="186">
        <v>50877.8</v>
      </c>
      <c r="G12" s="186">
        <v>53257.7</v>
      </c>
      <c r="H12" s="186">
        <v>53280.4</v>
      </c>
      <c r="I12" s="186">
        <v>56679.7</v>
      </c>
      <c r="J12" s="186">
        <v>58117.9</v>
      </c>
      <c r="K12" s="186">
        <v>58316.7</v>
      </c>
      <c r="L12" s="186">
        <v>59907.3</v>
      </c>
      <c r="M12" s="187">
        <f t="shared" ref="M12:O12" si="6">M11</f>
        <v>61601.9</v>
      </c>
      <c r="N12" s="187">
        <f t="shared" si="6"/>
        <v>63381.1</v>
      </c>
      <c r="O12" s="188">
        <f t="shared" si="6"/>
        <v>65191.7</v>
      </c>
      <c r="P12" s="188">
        <f t="shared" ref="P12" si="7">P11</f>
        <v>67035.5</v>
      </c>
      <c r="S12" s="48"/>
    </row>
    <row r="13" spans="1:19" ht="14.5" thickBot="1">
      <c r="B13" s="373" t="s">
        <v>66</v>
      </c>
      <c r="C13" s="368" t="s">
        <v>67</v>
      </c>
      <c r="D13" s="80">
        <f>$D$7</f>
        <v>45716</v>
      </c>
      <c r="E13" s="189"/>
      <c r="F13" s="189">
        <f>(F11/E11-1)*100</f>
        <v>4.9182559060314102</v>
      </c>
      <c r="G13" s="189">
        <f t="shared" ref="G13:J13" si="8">(G11/F11-1)*100</f>
        <v>4.6776786732130704</v>
      </c>
      <c r="H13" s="189">
        <f t="shared" si="8"/>
        <v>4.2622944663417428E-2</v>
      </c>
      <c r="I13" s="189">
        <f t="shared" si="8"/>
        <v>6.3800196695219968</v>
      </c>
      <c r="J13" s="189">
        <f t="shared" si="8"/>
        <v>2.5374163942293304</v>
      </c>
      <c r="K13" s="189">
        <f>(K11/J11-1)*100</f>
        <v>0.34206328859094359</v>
      </c>
      <c r="L13" s="321">
        <f t="shared" ref="L13:N13" si="9">(L11/K11-1)*100</f>
        <v>2.7275205901568622</v>
      </c>
      <c r="M13" s="187">
        <f t="shared" si="9"/>
        <v>2.8287036805197285</v>
      </c>
      <c r="N13" s="187">
        <f t="shared" si="9"/>
        <v>2.8882226035235936</v>
      </c>
      <c r="O13" s="188">
        <f>(O11/N11-1)*100</f>
        <v>2.8566875614339349</v>
      </c>
      <c r="P13" s="188">
        <f>(P11/O11-1)*100</f>
        <v>2.8282741514640719</v>
      </c>
    </row>
    <row r="14" spans="1:19" ht="14.5" thickBot="1">
      <c r="B14" s="374"/>
      <c r="C14" s="368"/>
      <c r="D14" s="80">
        <f>$D$12</f>
        <v>45716</v>
      </c>
      <c r="E14" s="189"/>
      <c r="F14" s="189">
        <f>(F12/E12-1)*100</f>
        <v>4.9182559060314102</v>
      </c>
      <c r="G14" s="189">
        <f t="shared" ref="G14:H14" si="10">(G12/F12-1)*100</f>
        <v>4.6776786732130704</v>
      </c>
      <c r="H14" s="189">
        <f t="shared" si="10"/>
        <v>4.2622944663417428E-2</v>
      </c>
      <c r="I14" s="190">
        <f>(I12/H12-1)*100</f>
        <v>6.3800196695219968</v>
      </c>
      <c r="J14" s="190">
        <f>(J12-I12)/I12*100</f>
        <v>2.5374163942293348</v>
      </c>
      <c r="K14" s="190">
        <f>(K12-J12)/J12*100</f>
        <v>0.34206328859094293</v>
      </c>
      <c r="L14" s="321">
        <f t="shared" ref="L14:N14" si="11">(L12-K12)/K12*100</f>
        <v>2.7275205901568604</v>
      </c>
      <c r="M14" s="187">
        <f t="shared" si="11"/>
        <v>2.8287036805197339</v>
      </c>
      <c r="N14" s="187">
        <f t="shared" si="11"/>
        <v>2.8882226035235878</v>
      </c>
      <c r="O14" s="188">
        <f>(O12-N12)/N12*100</f>
        <v>2.8566875614339269</v>
      </c>
      <c r="P14" s="188">
        <f>(P12-O12)/O12*100</f>
        <v>2.828274151464071</v>
      </c>
    </row>
    <row r="15" spans="1:19" ht="14.5" thickBot="1">
      <c r="B15" s="373" t="s">
        <v>68</v>
      </c>
      <c r="C15" s="368" t="s">
        <v>69</v>
      </c>
      <c r="D15" s="80">
        <v>45776</v>
      </c>
      <c r="E15" s="191">
        <v>47796.7</v>
      </c>
      <c r="F15" s="191">
        <v>49356.23</v>
      </c>
      <c r="G15" s="191">
        <v>51037.26</v>
      </c>
      <c r="H15" s="191">
        <v>52698.52</v>
      </c>
      <c r="I15" s="191">
        <v>54580.3</v>
      </c>
      <c r="J15" s="191">
        <v>56435.1</v>
      </c>
      <c r="K15" s="191">
        <v>58315.34</v>
      </c>
      <c r="L15" s="191">
        <v>60215.66</v>
      </c>
      <c r="M15" s="191">
        <v>62110.12</v>
      </c>
      <c r="N15" s="191">
        <v>63972.07</v>
      </c>
      <c r="O15" s="192">
        <v>65781.27</v>
      </c>
      <c r="P15" s="192">
        <v>67523.34</v>
      </c>
    </row>
    <row r="16" spans="1:19" ht="14.5" thickBot="1">
      <c r="B16" s="374"/>
      <c r="C16" s="368"/>
      <c r="D16" s="322">
        <v>45776</v>
      </c>
      <c r="E16" s="187">
        <v>47232.176942082624</v>
      </c>
      <c r="F16" s="187">
        <v>48928.182985222855</v>
      </c>
      <c r="G16" s="187">
        <v>51062.338686041352</v>
      </c>
      <c r="H16" s="187">
        <v>53101.123969982313</v>
      </c>
      <c r="I16" s="187">
        <v>55282.537138362837</v>
      </c>
      <c r="J16" s="187">
        <v>57384.790734186157</v>
      </c>
      <c r="K16" s="187">
        <v>59468.234407933749</v>
      </c>
      <c r="L16" s="187">
        <v>61161.715858439653</v>
      </c>
      <c r="M16" s="187">
        <v>62701.105055499538</v>
      </c>
      <c r="N16" s="187">
        <v>64161.38437531198</v>
      </c>
      <c r="O16" s="188">
        <v>65617.485757292889</v>
      </c>
      <c r="P16" s="188">
        <v>67119.937452886224</v>
      </c>
      <c r="Q16" s="48"/>
      <c r="R16" s="48"/>
    </row>
    <row r="17" spans="2:25" ht="14.5" thickBot="1">
      <c r="B17" s="373" t="s">
        <v>70</v>
      </c>
      <c r="C17" s="368" t="s">
        <v>71</v>
      </c>
      <c r="D17" s="80">
        <f>D15</f>
        <v>45776</v>
      </c>
      <c r="E17" s="191"/>
      <c r="F17" s="191">
        <f>(F15/E15-1)*100</f>
        <v>3.2628403216121704</v>
      </c>
      <c r="G17" s="191">
        <f>(G15/F15-1)*100</f>
        <v>3.405912485617324</v>
      </c>
      <c r="H17" s="191">
        <f t="shared" ref="H17:I18" si="12">(H15/G15-1)*100</f>
        <v>3.2549944883404791</v>
      </c>
      <c r="I17" s="191">
        <f t="shared" si="12"/>
        <v>3.570840319614299</v>
      </c>
      <c r="J17" s="191">
        <f>(J15/I15-1)*100</f>
        <v>3.398295722082878</v>
      </c>
      <c r="K17" s="191">
        <f>(K15/J15-1)*100</f>
        <v>3.3316854227245063</v>
      </c>
      <c r="L17" s="191">
        <f t="shared" ref="L17:N17" si="13">(L15/K15-1)*100</f>
        <v>3.2586965968131265</v>
      </c>
      <c r="M17" s="191">
        <f>(M15/L15-1)*100</f>
        <v>3.1461251109761168</v>
      </c>
      <c r="N17" s="191">
        <f t="shared" si="13"/>
        <v>2.9978206450092193</v>
      </c>
      <c r="O17" s="192">
        <f>(O15/N15-1)*100</f>
        <v>2.8281092045325584</v>
      </c>
      <c r="P17" s="192">
        <f>(P15/O15-1)*100</f>
        <v>2.6482766295025773</v>
      </c>
    </row>
    <row r="18" spans="2:25" ht="14.5" thickBot="1">
      <c r="B18" s="374"/>
      <c r="C18" s="368"/>
      <c r="D18" s="80">
        <f>$D$16</f>
        <v>45776</v>
      </c>
      <c r="E18" s="187"/>
      <c r="F18" s="187">
        <f>(F16/E16-1)*100</f>
        <v>3.5907852505293603</v>
      </c>
      <c r="G18" s="187">
        <f>(G16/F16-1)*100</f>
        <v>4.3618127030448761</v>
      </c>
      <c r="H18" s="187">
        <f t="shared" si="12"/>
        <v>3.9927377719154444</v>
      </c>
      <c r="I18" s="187">
        <f t="shared" si="12"/>
        <v>4.1080357726771766</v>
      </c>
      <c r="J18" s="187">
        <f>(J16/I16-1)*100</f>
        <v>3.8027444192037185</v>
      </c>
      <c r="K18" s="187">
        <f>(K16/J16-1)*100</f>
        <v>3.6306548252452053</v>
      </c>
      <c r="L18" s="187">
        <f t="shared" ref="L18:N18" si="14">(L16/K16-1)*100</f>
        <v>2.8477076331023143</v>
      </c>
      <c r="M18" s="187">
        <f>(M16/L16-1)*100</f>
        <v>2.5169163020587026</v>
      </c>
      <c r="N18" s="187">
        <f t="shared" si="14"/>
        <v>2.3289530838728867</v>
      </c>
      <c r="O18" s="188">
        <f>(O16/N16-1)*100</f>
        <v>2.2694357301635604</v>
      </c>
      <c r="P18" s="188">
        <f>(P16/O16-1)*100</f>
        <v>2.2897123811641107</v>
      </c>
    </row>
    <row r="19" spans="2:25" ht="14.5" thickBot="1">
      <c r="B19" s="373" t="s">
        <v>72</v>
      </c>
      <c r="C19" s="368" t="s">
        <v>73</v>
      </c>
      <c r="D19" s="80">
        <f>D15</f>
        <v>45776</v>
      </c>
      <c r="E19" s="191">
        <f t="shared" ref="E19:K19" si="15">(E12/E15-1)*100</f>
        <v>1.4563766954622581</v>
      </c>
      <c r="F19" s="191">
        <f t="shared" si="15"/>
        <v>3.0828327041996451</v>
      </c>
      <c r="G19" s="191">
        <f t="shared" si="15"/>
        <v>4.3506254058309546</v>
      </c>
      <c r="H19" s="191">
        <f t="shared" si="15"/>
        <v>1.1041676312731452</v>
      </c>
      <c r="I19" s="191">
        <f t="shared" si="15"/>
        <v>3.8464427641474952</v>
      </c>
      <c r="J19" s="191">
        <f t="shared" si="15"/>
        <v>2.9818322285244614</v>
      </c>
      <c r="K19" s="191">
        <f t="shared" si="15"/>
        <v>2.3321479391213984E-3</v>
      </c>
      <c r="L19" s="191">
        <f>(L12/L15-1)*100</f>
        <v>-0.51209270146669317</v>
      </c>
      <c r="M19" s="191">
        <f>(M12/M15-1)*100</f>
        <v>-0.81825634856284024</v>
      </c>
      <c r="N19" s="191">
        <f t="shared" ref="N19:O19" si="16">(N12/N15-1)*100</f>
        <v>-0.92379377437684651</v>
      </c>
      <c r="O19" s="192">
        <f t="shared" si="16"/>
        <v>-0.89625815980750589</v>
      </c>
      <c r="P19" s="192">
        <f t="shared" ref="P19" si="17">(P12/P15-1)*100</f>
        <v>-0.72247610974219834</v>
      </c>
    </row>
    <row r="20" spans="2:25" ht="14.5" thickBot="1">
      <c r="B20" s="374"/>
      <c r="C20" s="368"/>
      <c r="D20" s="80">
        <f>$D$16</f>
        <v>45776</v>
      </c>
      <c r="E20" s="187">
        <f t="shared" ref="E20:I20" si="18">(E$12/E16-1)*100</f>
        <v>2.6689920717886562</v>
      </c>
      <c r="F20" s="187">
        <f t="shared" si="18"/>
        <v>3.9846503504247455</v>
      </c>
      <c r="G20" s="187">
        <f t="shared" si="18"/>
        <v>4.2993747847251962</v>
      </c>
      <c r="H20" s="187">
        <f t="shared" si="18"/>
        <v>0.33761249595964937</v>
      </c>
      <c r="I20" s="187">
        <f t="shared" si="18"/>
        <v>2.5273132058687864</v>
      </c>
      <c r="J20" s="187">
        <f>(J$12/J16-1)*100</f>
        <v>1.2775323503569025</v>
      </c>
      <c r="K20" s="187">
        <f>(K$12/K16-1)*100</f>
        <v>-1.9363857350036318</v>
      </c>
      <c r="L20" s="187">
        <f>(L$12/L16-1)*100</f>
        <v>-2.0509821231029957</v>
      </c>
      <c r="M20" s="187">
        <f>(M$12/M16-1)*100</f>
        <v>-1.7530872135771425</v>
      </c>
      <c r="N20" s="187">
        <f t="shared" ref="N20" si="19">(N$12/N16-1)*100</f>
        <v>-1.2161277112534008</v>
      </c>
      <c r="O20" s="188">
        <f>(O$12/O16-1)*100</f>
        <v>-0.64889069183143855</v>
      </c>
      <c r="P20" s="188">
        <f>(P$12/P16-1)*100</f>
        <v>-0.12580085156589371</v>
      </c>
    </row>
    <row r="21" spans="2:25" ht="17.399999999999999" customHeight="1" thickBot="1">
      <c r="B21" s="371" t="s">
        <v>74</v>
      </c>
      <c r="C21" s="368" t="s">
        <v>75</v>
      </c>
      <c r="D21" s="80">
        <f>$D$15</f>
        <v>45776</v>
      </c>
      <c r="E21" s="191">
        <f t="shared" ref="E21:O21" si="20">E19*E37</f>
        <v>0.58109430148944097</v>
      </c>
      <c r="F21" s="191">
        <f>F19*F37</f>
        <v>1.2300502489756584</v>
      </c>
      <c r="G21" s="191">
        <f t="shared" si="20"/>
        <v>1.7358995369265511</v>
      </c>
      <c r="H21" s="191">
        <f t="shared" si="20"/>
        <v>0.44056288487798495</v>
      </c>
      <c r="I21" s="191">
        <f t="shared" si="20"/>
        <v>1.5347306628948507</v>
      </c>
      <c r="J21" s="191">
        <f t="shared" si="20"/>
        <v>1.1897510591812601</v>
      </c>
      <c r="K21" s="191">
        <f t="shared" si="20"/>
        <v>9.3052702770943805E-4</v>
      </c>
      <c r="L21" s="191">
        <f>L19*L37</f>
        <v>-0.20432498788521058</v>
      </c>
      <c r="M21" s="191">
        <f t="shared" si="20"/>
        <v>-0.32648428307657329</v>
      </c>
      <c r="N21" s="191">
        <f t="shared" si="20"/>
        <v>-0.36859371597636176</v>
      </c>
      <c r="O21" s="192">
        <f t="shared" si="20"/>
        <v>-0.35760700576319487</v>
      </c>
      <c r="P21" s="192">
        <f t="shared" ref="P21" si="21">P19*P37</f>
        <v>-0.28826796778713715</v>
      </c>
    </row>
    <row r="22" spans="2:25" ht="14.5" thickBot="1">
      <c r="B22" s="372"/>
      <c r="C22" s="368"/>
      <c r="D22" s="80">
        <f>$D$16</f>
        <v>45776</v>
      </c>
      <c r="E22" s="187">
        <f t="shared" ref="E22:O22" si="22">E20*E37</f>
        <v>1.0649278366436739</v>
      </c>
      <c r="F22" s="187">
        <f t="shared" si="22"/>
        <v>1.5898754898194736</v>
      </c>
      <c r="G22" s="187">
        <f>G20*G37</f>
        <v>1.7154505391053534</v>
      </c>
      <c r="H22" s="187">
        <f t="shared" si="22"/>
        <v>0.1347073858879001</v>
      </c>
      <c r="I22" s="187">
        <f t="shared" si="22"/>
        <v>1.0083979691416458</v>
      </c>
      <c r="J22" s="187">
        <f t="shared" si="22"/>
        <v>0.50973540779240412</v>
      </c>
      <c r="K22" s="187">
        <f>K20*K37</f>
        <v>-0.77261790826644916</v>
      </c>
      <c r="L22" s="187">
        <f>L20*L37</f>
        <v>-0.81834186711809531</v>
      </c>
      <c r="M22" s="187">
        <f t="shared" si="22"/>
        <v>-0.69948179821727985</v>
      </c>
      <c r="N22" s="187">
        <f t="shared" si="22"/>
        <v>-0.48523495679010692</v>
      </c>
      <c r="O22" s="188">
        <f t="shared" si="22"/>
        <v>-0.25890738604074398</v>
      </c>
      <c r="P22" s="188">
        <f t="shared" ref="P22" si="23">P20*P37</f>
        <v>-5.0194539774791595E-2</v>
      </c>
    </row>
    <row r="23" spans="2:25" ht="17.399999999999999" customHeight="1" thickBot="1">
      <c r="B23" s="371" t="s">
        <v>76</v>
      </c>
      <c r="C23" s="368" t="s">
        <v>77</v>
      </c>
      <c r="D23" s="80">
        <f>$D$15</f>
        <v>45776</v>
      </c>
      <c r="E23" s="193"/>
      <c r="F23" s="193"/>
      <c r="G23" s="193"/>
      <c r="H23" s="193"/>
      <c r="I23" s="191">
        <f>I19*I38</f>
        <v>0.38849071917889705</v>
      </c>
      <c r="J23" s="191">
        <f t="shared" ref="J23:N23" si="24">J19*J38</f>
        <v>0.26240123611015259</v>
      </c>
      <c r="K23" s="191">
        <f t="shared" si="24"/>
        <v>2.1455761039916864E-4</v>
      </c>
      <c r="L23" s="191">
        <f>L19*L38</f>
        <v>-4.665344093813506E-2</v>
      </c>
      <c r="M23" s="191">
        <f>M19*M38</f>
        <v>-7.4551252290967235E-2</v>
      </c>
      <c r="N23" s="191">
        <f t="shared" si="24"/>
        <v>-8.4161530010069222E-2</v>
      </c>
      <c r="O23" s="191">
        <f>O19*O38</f>
        <v>-8.1665032963612605E-2</v>
      </c>
      <c r="P23" s="191">
        <f>P19*P38</f>
        <v>-6.5835133948373592E-2</v>
      </c>
    </row>
    <row r="24" spans="2:25" ht="14.5" thickBot="1">
      <c r="B24" s="371"/>
      <c r="C24" s="368"/>
      <c r="D24" s="80">
        <f>$D$16</f>
        <v>45776</v>
      </c>
      <c r="E24" s="193"/>
      <c r="F24" s="193"/>
      <c r="G24" s="193"/>
      <c r="H24" s="193"/>
      <c r="I24" s="187">
        <f>I20*I38</f>
        <v>0.25525863379274744</v>
      </c>
      <c r="J24" s="187">
        <f t="shared" ref="J24:N24" si="25">J20*J38</f>
        <v>0.11242284683140741</v>
      </c>
      <c r="K24" s="187">
        <f t="shared" si="25"/>
        <v>-0.17814748762033411</v>
      </c>
      <c r="L24" s="187">
        <f t="shared" si="25"/>
        <v>-0.18685166391026936</v>
      </c>
      <c r="M24" s="187">
        <f t="shared" si="25"/>
        <v>-0.15972359686179843</v>
      </c>
      <c r="N24" s="187">
        <f t="shared" si="25"/>
        <v>-0.11079439124362123</v>
      </c>
      <c r="O24" s="187">
        <f>O20*O38</f>
        <v>-5.9125464196138663E-2</v>
      </c>
      <c r="P24" s="187">
        <f>P20*P38</f>
        <v>-1.1463515266429211E-2</v>
      </c>
    </row>
    <row r="25" spans="2:25" s="10" customFormat="1" ht="15.75" customHeight="1" thickBot="1">
      <c r="B25" s="371" t="s">
        <v>78</v>
      </c>
      <c r="C25" s="368" t="s">
        <v>79</v>
      </c>
      <c r="D25" s="80">
        <f>$D$15</f>
        <v>45776</v>
      </c>
      <c r="E25" s="193"/>
      <c r="F25" s="193"/>
      <c r="G25" s="193"/>
      <c r="H25" s="193"/>
      <c r="I25" s="191">
        <f>I19*I39</f>
        <v>0.17308992438663728</v>
      </c>
      <c r="J25" s="191">
        <f t="shared" ref="J25:O25" si="26">J19*J39</f>
        <v>0.12523695359802739</v>
      </c>
      <c r="K25" s="191">
        <f t="shared" si="26"/>
        <v>1.0727880519958432E-4</v>
      </c>
      <c r="L25" s="191">
        <f t="shared" si="26"/>
        <v>-2.445820224088617E-2</v>
      </c>
      <c r="M25" s="191">
        <f>M19*M39</f>
        <v>-3.9083760628166125E-2</v>
      </c>
      <c r="N25" s="191">
        <f t="shared" si="26"/>
        <v>-4.412208993936334E-2</v>
      </c>
      <c r="O25" s="191">
        <f t="shared" si="26"/>
        <v>-4.2812301982604911E-2</v>
      </c>
      <c r="P25" s="191">
        <f t="shared" ref="P25" si="27">P19*P39</f>
        <v>-3.4513908750286065E-2</v>
      </c>
    </row>
    <row r="26" spans="2:25" s="10" customFormat="1" ht="14.5" thickBot="1">
      <c r="B26" s="371"/>
      <c r="C26" s="368"/>
      <c r="D26" s="80">
        <f>$D$16</f>
        <v>45776</v>
      </c>
      <c r="E26" s="193"/>
      <c r="F26" s="193"/>
      <c r="G26" s="193"/>
      <c r="H26" s="193"/>
      <c r="I26" s="187">
        <f>I20*I39</f>
        <v>0.11372909426409539</v>
      </c>
      <c r="J26" s="187">
        <f t="shared" ref="J26:O26" si="28">J20*J39</f>
        <v>5.3656358714989909E-2</v>
      </c>
      <c r="K26" s="187">
        <f t="shared" si="28"/>
        <v>-8.9073743810167055E-2</v>
      </c>
      <c r="L26" s="187">
        <f t="shared" si="28"/>
        <v>-9.7957528813868128E-2</v>
      </c>
      <c r="M26" s="187">
        <f t="shared" si="28"/>
        <v>-8.373566686783343E-2</v>
      </c>
      <c r="N26" s="187">
        <f t="shared" si="28"/>
        <v>-5.8084496499091698E-2</v>
      </c>
      <c r="O26" s="187">
        <f t="shared" si="28"/>
        <v>-3.099609632380422E-2</v>
      </c>
      <c r="P26" s="187">
        <f t="shared" ref="P26" si="29">P20*P39</f>
        <v>-6.0097199798106174E-3</v>
      </c>
    </row>
    <row r="27" spans="2:25" ht="14.5" thickBot="1">
      <c r="B27" s="373" t="s">
        <v>332</v>
      </c>
      <c r="C27" s="368" t="s">
        <v>80</v>
      </c>
      <c r="D27" s="80">
        <f>$D$7</f>
        <v>45716</v>
      </c>
      <c r="E27" s="193">
        <f>E7/E11*100</f>
        <v>87.177065461264348</v>
      </c>
      <c r="F27" s="193">
        <f t="shared" ref="F27:J28" si="30">F7/F11*100</f>
        <v>90.309525962207488</v>
      </c>
      <c r="G27" s="193">
        <f t="shared" si="30"/>
        <v>92.454612196921758</v>
      </c>
      <c r="H27" s="193">
        <f t="shared" si="30"/>
        <v>94.339757209029955</v>
      </c>
      <c r="I27" s="193">
        <f>I7/I11*100</f>
        <v>100</v>
      </c>
      <c r="J27" s="193">
        <f t="shared" si="30"/>
        <v>116.0666507220667</v>
      </c>
      <c r="K27" s="193">
        <f>K7/K11*100</f>
        <v>126.53802427092069</v>
      </c>
      <c r="L27" s="193">
        <f t="shared" ref="L27:O27" si="31">L7/L11*100</f>
        <v>130.10083912978885</v>
      </c>
      <c r="M27" s="193">
        <f>M7/M11*100</f>
        <v>134.4926049358867</v>
      </c>
      <c r="N27" s="193">
        <f t="shared" si="31"/>
        <v>138.2658237234759</v>
      </c>
      <c r="O27" s="194">
        <f t="shared" si="31"/>
        <v>142.01102287561147</v>
      </c>
      <c r="P27" s="194">
        <f t="shared" ref="P27" si="32">P7/P11*100</f>
        <v>145.70652863035258</v>
      </c>
    </row>
    <row r="28" spans="2:25" ht="14.5" thickBot="1">
      <c r="B28" s="374"/>
      <c r="C28" s="368"/>
      <c r="D28" s="80">
        <f>$D$8</f>
        <v>45716</v>
      </c>
      <c r="E28" s="193">
        <f>E8/E12*100</f>
        <v>87.177065461264348</v>
      </c>
      <c r="F28" s="193">
        <f t="shared" si="30"/>
        <v>90.309525962207488</v>
      </c>
      <c r="G28" s="193">
        <f t="shared" si="30"/>
        <v>92.454612196921758</v>
      </c>
      <c r="H28" s="193">
        <f t="shared" si="30"/>
        <v>94.339757209029955</v>
      </c>
      <c r="I28" s="193">
        <f t="shared" si="30"/>
        <v>100</v>
      </c>
      <c r="J28" s="193">
        <f t="shared" si="30"/>
        <v>116.0666507220667</v>
      </c>
      <c r="K28" s="193">
        <f>K8/K12*100</f>
        <v>126.53802427092069</v>
      </c>
      <c r="L28" s="193">
        <f t="shared" ref="L28:O28" si="33">L8/L12*100</f>
        <v>130.10083912978885</v>
      </c>
      <c r="M28" s="193">
        <f t="shared" si="33"/>
        <v>134.4926049358867</v>
      </c>
      <c r="N28" s="193">
        <f t="shared" si="33"/>
        <v>138.2658237234759</v>
      </c>
      <c r="O28" s="194">
        <f t="shared" si="33"/>
        <v>142.01102287561147</v>
      </c>
      <c r="P28" s="194">
        <f t="shared" ref="P28" si="34">P8/P12*100</f>
        <v>145.70652863035258</v>
      </c>
    </row>
    <row r="29" spans="2:25" ht="14.5" thickBot="1">
      <c r="B29" s="373" t="s">
        <v>81</v>
      </c>
      <c r="C29" s="368" t="s">
        <v>82</v>
      </c>
      <c r="D29" s="80">
        <f>$D$7</f>
        <v>45716</v>
      </c>
      <c r="E29" s="193"/>
      <c r="F29" s="193">
        <f>(F27/E27-1)*100</f>
        <v>3.5932162712393634</v>
      </c>
      <c r="G29" s="193">
        <f t="shared" ref="G29:J30" si="35">(G27/F27-1)*100</f>
        <v>2.3752602085542307</v>
      </c>
      <c r="H29" s="193">
        <f t="shared" si="35"/>
        <v>2.0389950996635653</v>
      </c>
      <c r="I29" s="193">
        <f t="shared" si="35"/>
        <v>5.9998488001496098</v>
      </c>
      <c r="J29" s="193">
        <f t="shared" si="35"/>
        <v>16.066650722066701</v>
      </c>
      <c r="K29" s="193">
        <f>(K27/J27-1)*100</f>
        <v>9.0218624244863932</v>
      </c>
      <c r="L29" s="193">
        <f t="shared" ref="L29:N29" si="36">(L27/K27-1)*100</f>
        <v>2.815608098353195</v>
      </c>
      <c r="M29" s="193">
        <f>(M27/L27-1)*100</f>
        <v>3.3756629361295865</v>
      </c>
      <c r="N29" s="193">
        <f t="shared" si="36"/>
        <v>2.805521381185172</v>
      </c>
      <c r="O29" s="194">
        <f>(O27/N27-1)*100</f>
        <v>2.7086947817457574</v>
      </c>
      <c r="P29" s="194">
        <f>(P27/O27-1)*100</f>
        <v>2.6022668381017411</v>
      </c>
    </row>
    <row r="30" spans="2:25" ht="14.5" thickBot="1">
      <c r="B30" s="374"/>
      <c r="C30" s="368"/>
      <c r="D30" s="80">
        <f>$D$8</f>
        <v>45716</v>
      </c>
      <c r="E30" s="193"/>
      <c r="F30" s="193">
        <f>(F28/E28-1)*100</f>
        <v>3.5932162712393634</v>
      </c>
      <c r="G30" s="193">
        <f t="shared" ref="G30:H30" si="37">(G28/F28-1)*100</f>
        <v>2.3752602085542307</v>
      </c>
      <c r="H30" s="193">
        <f t="shared" si="37"/>
        <v>2.0389950996635653</v>
      </c>
      <c r="I30" s="193">
        <f t="shared" si="35"/>
        <v>5.9998488001496098</v>
      </c>
      <c r="J30" s="193">
        <f>(J28/I28-1)*100</f>
        <v>16.066650722066701</v>
      </c>
      <c r="K30" s="193">
        <f>(K28/J28-1)*100</f>
        <v>9.0218624244863932</v>
      </c>
      <c r="L30" s="193">
        <f t="shared" ref="L30:N30" si="38">(L28/K28-1)*100</f>
        <v>2.815608098353195</v>
      </c>
      <c r="M30" s="193">
        <f t="shared" si="38"/>
        <v>3.3756629361295865</v>
      </c>
      <c r="N30" s="193">
        <f t="shared" si="38"/>
        <v>2.805521381185172</v>
      </c>
      <c r="O30" s="194">
        <f>(O28/N28-1)*100</f>
        <v>2.7086947817457574</v>
      </c>
      <c r="P30" s="194">
        <f>(P28/O28-1)*100</f>
        <v>2.6022668381017411</v>
      </c>
    </row>
    <row r="31" spans="2:25" ht="29" thickBot="1">
      <c r="B31" s="88" t="s">
        <v>83</v>
      </c>
      <c r="C31" s="81" t="s">
        <v>84</v>
      </c>
      <c r="D31" s="80">
        <f>D21</f>
        <v>45776</v>
      </c>
      <c r="E31" s="186">
        <v>13168.340400000001</v>
      </c>
      <c r="F31" s="186">
        <v>13628.438</v>
      </c>
      <c r="G31" s="186">
        <v>14122.974200000001</v>
      </c>
      <c r="H31" s="186">
        <v>13580.268800000002</v>
      </c>
      <c r="I31" s="186">
        <v>14795.071400000001</v>
      </c>
      <c r="J31" s="186">
        <v>16144.0692</v>
      </c>
      <c r="K31" s="186">
        <v>17203.657199999998</v>
      </c>
      <c r="L31" s="311">
        <v>17944.813899999997</v>
      </c>
      <c r="M31" s="195"/>
      <c r="N31" s="195"/>
      <c r="O31" s="196"/>
      <c r="P31" s="196"/>
      <c r="S31" s="250"/>
      <c r="T31" s="251"/>
      <c r="U31" s="250"/>
      <c r="V31" s="250"/>
      <c r="W31" s="250"/>
      <c r="X31" s="250"/>
      <c r="Y31" s="250"/>
    </row>
    <row r="32" spans="2:25" ht="29.25" customHeight="1" thickBot="1">
      <c r="B32" s="88" t="s">
        <v>85</v>
      </c>
      <c r="C32" s="81" t="s">
        <v>86</v>
      </c>
      <c r="D32" s="80">
        <f>$D$31</f>
        <v>45776</v>
      </c>
      <c r="E32" s="189"/>
      <c r="F32" s="189">
        <f>(F31/E31-1)*100</f>
        <v>3.493968002224479</v>
      </c>
      <c r="G32" s="189">
        <f t="shared" ref="G32:H32" si="39">(G31/F31-1)*100</f>
        <v>3.6287078533871586</v>
      </c>
      <c r="H32" s="189">
        <f t="shared" si="39"/>
        <v>-3.8427132437868439</v>
      </c>
      <c r="I32" s="189">
        <f>(I31/H31-1)*100</f>
        <v>8.945350183348344</v>
      </c>
      <c r="J32" s="189">
        <f>(J31/I31-1)*100</f>
        <v>9.1178863793790033</v>
      </c>
      <c r="K32" s="189">
        <f>(K31/J31-1)*100</f>
        <v>6.5633266735501739</v>
      </c>
      <c r="L32" s="189">
        <f>(L31/K31-1)*100</f>
        <v>4.3081345517626213</v>
      </c>
      <c r="M32" s="195"/>
      <c r="N32" s="195"/>
      <c r="O32" s="196"/>
      <c r="P32" s="196"/>
    </row>
    <row r="33" spans="1:16" s="12" customFormat="1" ht="14.5" thickBot="1">
      <c r="B33" s="371" t="s">
        <v>87</v>
      </c>
      <c r="C33" s="368" t="s">
        <v>88</v>
      </c>
      <c r="D33" s="80">
        <f>D31</f>
        <v>45776</v>
      </c>
      <c r="E33" s="186">
        <v>152.23099999999999</v>
      </c>
      <c r="F33" s="186">
        <v>240</v>
      </c>
      <c r="G33" s="186">
        <v>202.8</v>
      </c>
      <c r="H33" s="186">
        <v>-3225.1</v>
      </c>
      <c r="I33" s="186">
        <v>-653.79999999999995</v>
      </c>
      <c r="J33" s="186">
        <v>-482.3</v>
      </c>
      <c r="K33" s="186">
        <v>-507.6</v>
      </c>
      <c r="L33" s="311">
        <v>-1006.2</v>
      </c>
      <c r="M33" s="195"/>
      <c r="N33" s="195"/>
      <c r="O33" s="196"/>
      <c r="P33" s="196"/>
    </row>
    <row r="34" spans="1:16" s="12" customFormat="1" ht="14.5" thickBot="1">
      <c r="B34" s="372"/>
      <c r="C34" s="368"/>
      <c r="D34" s="80">
        <f>D33</f>
        <v>45776</v>
      </c>
      <c r="E34" s="186">
        <f>E33</f>
        <v>152.23099999999999</v>
      </c>
      <c r="F34" s="186">
        <f t="shared" ref="F34:L34" si="40">F33</f>
        <v>240</v>
      </c>
      <c r="G34" s="186">
        <f t="shared" si="40"/>
        <v>202.8</v>
      </c>
      <c r="H34" s="186">
        <f t="shared" si="40"/>
        <v>-3225.1</v>
      </c>
      <c r="I34" s="186">
        <f t="shared" si="40"/>
        <v>-653.79999999999995</v>
      </c>
      <c r="J34" s="186">
        <f t="shared" si="40"/>
        <v>-482.3</v>
      </c>
      <c r="K34" s="186">
        <f t="shared" si="40"/>
        <v>-507.6</v>
      </c>
      <c r="L34" s="186">
        <f t="shared" si="40"/>
        <v>-1006.2</v>
      </c>
      <c r="M34" s="195"/>
      <c r="N34" s="195"/>
      <c r="O34" s="196"/>
      <c r="P34" s="196"/>
    </row>
    <row r="35" spans="1:16" ht="14.5" thickBot="1">
      <c r="B35" s="373" t="s">
        <v>89</v>
      </c>
      <c r="C35" s="368" t="s">
        <v>90</v>
      </c>
      <c r="D35" s="80">
        <f>+D33</f>
        <v>45776</v>
      </c>
      <c r="E35" s="193">
        <f t="shared" ref="E35:J36" si="41">E33/E7*100</f>
        <v>0.36010039125148435</v>
      </c>
      <c r="F35" s="193">
        <f t="shared" si="41"/>
        <v>0.52233527395396917</v>
      </c>
      <c r="G35" s="193">
        <f>G33/G7*100</f>
        <v>0.41186696778176746</v>
      </c>
      <c r="H35" s="193">
        <f t="shared" si="41"/>
        <v>-6.4162452302415618</v>
      </c>
      <c r="I35" s="193">
        <f t="shared" si="41"/>
        <v>-1.1534994010201183</v>
      </c>
      <c r="J35" s="193">
        <f t="shared" si="41"/>
        <v>-0.7149898822186479</v>
      </c>
      <c r="K35" s="193">
        <f>K33/K7*100</f>
        <v>-0.68787198751097667</v>
      </c>
      <c r="L35" s="193">
        <f>L33/L7*100</f>
        <v>-1.2909947279891303</v>
      </c>
      <c r="M35" s="195"/>
      <c r="N35" s="195"/>
      <c r="O35" s="196"/>
      <c r="P35" s="196"/>
    </row>
    <row r="36" spans="1:16" ht="14.5" thickBot="1">
      <c r="B36" s="374"/>
      <c r="C36" s="368"/>
      <c r="D36" s="80">
        <f>D34</f>
        <v>45776</v>
      </c>
      <c r="E36" s="193">
        <f t="shared" si="41"/>
        <v>0.36010039125148435</v>
      </c>
      <c r="F36" s="193">
        <f t="shared" si="41"/>
        <v>0.52233527395396917</v>
      </c>
      <c r="G36" s="193">
        <f t="shared" si="41"/>
        <v>0.41186696778176746</v>
      </c>
      <c r="H36" s="193">
        <f t="shared" si="41"/>
        <v>-6.4162452302415618</v>
      </c>
      <c r="I36" s="193">
        <f t="shared" si="41"/>
        <v>-1.1534994010201183</v>
      </c>
      <c r="J36" s="193">
        <f t="shared" si="41"/>
        <v>-0.7149898822186479</v>
      </c>
      <c r="K36" s="193">
        <f>K34/K8*100</f>
        <v>-0.68787198751097667</v>
      </c>
      <c r="L36" s="193">
        <f>L34/L8*100</f>
        <v>-1.2909947279891303</v>
      </c>
      <c r="M36" s="195"/>
      <c r="N36" s="195"/>
      <c r="O36" s="196"/>
      <c r="P36" s="196"/>
    </row>
    <row r="37" spans="1:16" ht="36.75" customHeight="1" thickBot="1">
      <c r="B37" s="88" t="s">
        <v>91</v>
      </c>
      <c r="C37" s="82" t="s">
        <v>92</v>
      </c>
      <c r="D37" s="80">
        <v>44489</v>
      </c>
      <c r="E37" s="198">
        <v>0.39900000000000002</v>
      </c>
      <c r="F37" s="198">
        <v>0.39900000000000002</v>
      </c>
      <c r="G37" s="198">
        <v>0.39900000000000002</v>
      </c>
      <c r="H37" s="198">
        <v>0.39900000000000002</v>
      </c>
      <c r="I37" s="198">
        <v>0.39900000000000002</v>
      </c>
      <c r="J37" s="198">
        <v>0.39900000000000002</v>
      </c>
      <c r="K37" s="198">
        <v>0.39900000000000002</v>
      </c>
      <c r="L37" s="198">
        <v>0.39900000000000002</v>
      </c>
      <c r="M37" s="198">
        <v>0.39900000000000002</v>
      </c>
      <c r="N37" s="198">
        <v>0.39900000000000002</v>
      </c>
      <c r="O37" s="199">
        <v>0.39900000000000002</v>
      </c>
      <c r="P37" s="199">
        <v>0.39900000000000002</v>
      </c>
    </row>
    <row r="38" spans="1:16" ht="36.75" customHeight="1" thickBot="1">
      <c r="A38" s="289"/>
      <c r="B38" s="88" t="s">
        <v>93</v>
      </c>
      <c r="C38" s="82" t="s">
        <v>94</v>
      </c>
      <c r="D38" s="80">
        <f>D26</f>
        <v>45776</v>
      </c>
      <c r="E38" s="197"/>
      <c r="F38" s="197"/>
      <c r="G38" s="197"/>
      <c r="H38" s="187">
        <v>0.1045</v>
      </c>
      <c r="I38" s="187">
        <v>0.10100000000000001</v>
      </c>
      <c r="J38" s="187">
        <v>8.7999999999999995E-2</v>
      </c>
      <c r="K38" s="187">
        <v>9.1999999999999998E-2</v>
      </c>
      <c r="L38" s="187">
        <v>9.1103506854353061E-2</v>
      </c>
      <c r="M38" s="195">
        <v>9.1109897799029255E-2</v>
      </c>
      <c r="N38" s="195">
        <v>9.1104240301728756E-2</v>
      </c>
      <c r="O38" s="196">
        <v>9.1117756719952467E-2</v>
      </c>
      <c r="P38" s="196">
        <v>9.1124305787585957E-2</v>
      </c>
    </row>
    <row r="39" spans="1:16" ht="36.75" customHeight="1" thickBot="1">
      <c r="B39" s="91" t="s">
        <v>95</v>
      </c>
      <c r="C39" s="97" t="s">
        <v>96</v>
      </c>
      <c r="D39" s="98">
        <f>D26</f>
        <v>45776</v>
      </c>
      <c r="E39" s="200"/>
      <c r="F39" s="200"/>
      <c r="G39" s="200"/>
      <c r="H39" s="201">
        <v>4.4999999999999998E-2</v>
      </c>
      <c r="I39" s="201">
        <v>4.4999999999999998E-2</v>
      </c>
      <c r="J39" s="201">
        <v>4.2000000000000003E-2</v>
      </c>
      <c r="K39" s="201">
        <v>4.5999999999999999E-2</v>
      </c>
      <c r="L39" s="201">
        <v>4.7761278711520451E-2</v>
      </c>
      <c r="M39" s="202">
        <v>4.776468975378146E-2</v>
      </c>
      <c r="N39" s="202">
        <v>4.7761839452886874E-2</v>
      </c>
      <c r="O39" s="203">
        <v>4.7767823940146815E-2</v>
      </c>
      <c r="P39" s="203">
        <v>4.7771695541049361E-2</v>
      </c>
    </row>
    <row r="40" spans="1:16" ht="14.5" thickTop="1">
      <c r="B40" s="14"/>
      <c r="C40" s="14"/>
      <c r="D40" s="14"/>
    </row>
    <row r="41" spans="1:16" ht="15" thickBot="1">
      <c r="C41" s="6" t="s">
        <v>43</v>
      </c>
      <c r="E41" s="370" t="s">
        <v>44</v>
      </c>
      <c r="F41" s="370"/>
      <c r="G41" s="370"/>
      <c r="H41" s="370"/>
      <c r="I41" s="370"/>
      <c r="L41" s="49"/>
    </row>
    <row r="42" spans="1:16" ht="15.5" thickTop="1" thickBot="1">
      <c r="C42" s="6" t="s">
        <v>308</v>
      </c>
      <c r="D42" s="172"/>
      <c r="E42" s="370" t="s">
        <v>310</v>
      </c>
      <c r="F42" s="370"/>
      <c r="G42" s="370"/>
      <c r="H42" s="370"/>
      <c r="I42" s="370"/>
      <c r="J42" s="11"/>
      <c r="K42" s="11"/>
    </row>
    <row r="43" spans="1:16" ht="15" thickBot="1">
      <c r="B43" s="6" t="s">
        <v>325</v>
      </c>
      <c r="C43" s="6" t="s">
        <v>97</v>
      </c>
      <c r="D43" s="171"/>
      <c r="E43" s="369" t="s">
        <v>326</v>
      </c>
      <c r="F43" s="370"/>
      <c r="G43" s="370"/>
      <c r="H43" s="370"/>
      <c r="I43" s="370"/>
      <c r="J43" s="370"/>
      <c r="K43" s="11"/>
    </row>
    <row r="44" spans="1:16" ht="15" customHeight="1" thickBot="1">
      <c r="B44" s="6"/>
      <c r="C44" s="6" t="s">
        <v>98</v>
      </c>
      <c r="D44" s="111"/>
      <c r="E44" s="375" t="s">
        <v>311</v>
      </c>
      <c r="F44" s="375"/>
      <c r="G44" s="375"/>
      <c r="H44" s="375"/>
      <c r="I44" s="375"/>
      <c r="J44" s="375"/>
      <c r="K44" s="375"/>
    </row>
    <row r="45" spans="1:16" ht="15.5" thickTop="1" thickBot="1">
      <c r="C45" s="6" t="s">
        <v>99</v>
      </c>
      <c r="E45" s="370" t="s">
        <v>309</v>
      </c>
      <c r="F45" s="370"/>
      <c r="G45" s="370"/>
      <c r="H45" s="370"/>
      <c r="I45" s="370"/>
    </row>
    <row r="46" spans="1:16" ht="15" thickTop="1" thickBot="1">
      <c r="C46" s="15" t="s">
        <v>100</v>
      </c>
      <c r="D46" s="100"/>
      <c r="E46" s="386" t="s">
        <v>101</v>
      </c>
      <c r="F46" s="387"/>
      <c r="G46" s="387"/>
      <c r="H46" s="387"/>
      <c r="I46" s="387"/>
      <c r="J46" s="387"/>
      <c r="K46" s="387"/>
    </row>
    <row r="47" spans="1:16" ht="14.5" thickTop="1">
      <c r="C47" s="16" t="s">
        <v>102</v>
      </c>
      <c r="D47" s="17">
        <v>4.9999999999999899E-2</v>
      </c>
    </row>
    <row r="50" spans="9:15">
      <c r="I50" s="18"/>
      <c r="J50" s="18"/>
    </row>
    <row r="51" spans="9:15">
      <c r="I51" s="18"/>
      <c r="J51" s="18"/>
    </row>
    <row r="52" spans="9:15">
      <c r="I52" s="18"/>
      <c r="J52" s="18"/>
      <c r="O52" s="50"/>
    </row>
    <row r="53" spans="9:15">
      <c r="I53" s="18"/>
      <c r="J53" s="18"/>
      <c r="O53" s="50"/>
    </row>
    <row r="54" spans="9:15">
      <c r="I54" s="18"/>
      <c r="J54" s="18"/>
      <c r="O54" s="50"/>
    </row>
    <row r="55" spans="9:15">
      <c r="I55" s="18"/>
      <c r="J55" s="18"/>
      <c r="O55" s="50"/>
    </row>
    <row r="56" spans="9:15">
      <c r="I56" s="18"/>
      <c r="J56" s="18"/>
      <c r="O56" s="50"/>
    </row>
    <row r="57" spans="9:15">
      <c r="I57" s="18"/>
      <c r="J57" s="18"/>
      <c r="O57" s="50"/>
    </row>
    <row r="58" spans="9:15">
      <c r="I58" s="18"/>
      <c r="J58" s="18"/>
      <c r="O58" s="50"/>
    </row>
    <row r="59" spans="9:15">
      <c r="I59" s="18"/>
      <c r="J59" s="18"/>
      <c r="O59" s="50"/>
    </row>
    <row r="60" spans="9:15">
      <c r="I60" s="18"/>
      <c r="J60" s="18"/>
      <c r="O60" s="50"/>
    </row>
    <row r="61" spans="9:15">
      <c r="I61" s="18"/>
      <c r="J61" s="18"/>
      <c r="L61" s="50"/>
    </row>
  </sheetData>
  <mergeCells count="40">
    <mergeCell ref="B3:P3"/>
    <mergeCell ref="E4:L4"/>
    <mergeCell ref="M4:P4"/>
    <mergeCell ref="E46:K46"/>
    <mergeCell ref="E45:I45"/>
    <mergeCell ref="B13:B14"/>
    <mergeCell ref="C13:C14"/>
    <mergeCell ref="B23:B24"/>
    <mergeCell ref="C23:C24"/>
    <mergeCell ref="B25:B26"/>
    <mergeCell ref="C25:C26"/>
    <mergeCell ref="B19:B20"/>
    <mergeCell ref="C19:C20"/>
    <mergeCell ref="B21:B22"/>
    <mergeCell ref="C21:C22"/>
    <mergeCell ref="B27:B28"/>
    <mergeCell ref="E44:K44"/>
    <mergeCell ref="E41:I41"/>
    <mergeCell ref="B4:B5"/>
    <mergeCell ref="B9:B10"/>
    <mergeCell ref="C9:C10"/>
    <mergeCell ref="D4:D5"/>
    <mergeCell ref="B7:B8"/>
    <mergeCell ref="C7:C8"/>
    <mergeCell ref="B15:B16"/>
    <mergeCell ref="C15:C16"/>
    <mergeCell ref="B17:B18"/>
    <mergeCell ref="C17:C18"/>
    <mergeCell ref="B11:B12"/>
    <mergeCell ref="C11:C12"/>
    <mergeCell ref="B35:B36"/>
    <mergeCell ref="C35:C36"/>
    <mergeCell ref="C27:C28"/>
    <mergeCell ref="C4:C5"/>
    <mergeCell ref="E43:J43"/>
    <mergeCell ref="C29:C30"/>
    <mergeCell ref="B33:B34"/>
    <mergeCell ref="C33:C34"/>
    <mergeCell ref="E42:I42"/>
    <mergeCell ref="B29:B30"/>
  </mergeCells>
  <phoneticPr fontId="65" type="noConversion"/>
  <hyperlinks>
    <hyperlink ref="B1" location="Content!A1" display="↖ atgal į turinį" xr:uid="{8E6CD68B-1742-410E-85D4-E8778B301C8F}"/>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225E2A-7248-4930-8E40-754466E749CA}">
  <sheetPr codeName="Lapas4">
    <tabColor theme="7"/>
  </sheetPr>
  <dimension ref="A1:M42"/>
  <sheetViews>
    <sheetView showGridLines="0" showRowColHeaders="0" zoomScaleNormal="100" workbookViewId="0"/>
  </sheetViews>
  <sheetFormatPr defaultColWidth="10" defaultRowHeight="14"/>
  <cols>
    <col min="1" max="1" width="4.08984375" style="1" customWidth="1"/>
    <col min="2" max="2" width="69" style="1" customWidth="1"/>
    <col min="3" max="3" width="24.36328125" style="1" customWidth="1"/>
    <col min="4" max="4" width="15.90625" style="1" customWidth="1"/>
    <col min="5" max="5" width="11.36328125" style="1" customWidth="1"/>
    <col min="6" max="8" width="11.453125" style="1" customWidth="1"/>
    <col min="9" max="16384" width="10" style="1"/>
  </cols>
  <sheetData>
    <row r="1" spans="1:11">
      <c r="B1" s="73" t="s">
        <v>19</v>
      </c>
      <c r="C1" s="3"/>
      <c r="D1" s="3"/>
      <c r="E1" s="3"/>
      <c r="F1" s="327"/>
      <c r="G1" s="3"/>
      <c r="H1" s="3"/>
    </row>
    <row r="2" spans="1:11" ht="14.5" thickBot="1">
      <c r="A2" s="8"/>
    </row>
    <row r="3" spans="1:11" ht="34.25" customHeight="1" thickTop="1" thickBot="1">
      <c r="B3" s="394" t="s">
        <v>103</v>
      </c>
      <c r="C3" s="395"/>
      <c r="D3" s="169"/>
      <c r="E3" s="169"/>
      <c r="F3" s="169"/>
      <c r="G3" s="169"/>
      <c r="H3" s="170"/>
    </row>
    <row r="4" spans="1:11" ht="21.75" customHeight="1" thickBot="1">
      <c r="B4" s="376" t="s">
        <v>50</v>
      </c>
      <c r="C4" s="351" t="s">
        <v>104</v>
      </c>
      <c r="D4" s="351" t="s">
        <v>105</v>
      </c>
      <c r="E4" s="397" t="s">
        <v>23</v>
      </c>
      <c r="F4" s="397"/>
      <c r="G4" s="389" t="s">
        <v>24</v>
      </c>
      <c r="H4" s="390"/>
    </row>
    <row r="5" spans="1:11" ht="14.5" thickBot="1">
      <c r="B5" s="396"/>
      <c r="C5" s="351"/>
      <c r="D5" s="351"/>
      <c r="E5" s="86">
        <v>2023</v>
      </c>
      <c r="F5" s="86">
        <v>2024</v>
      </c>
      <c r="G5" s="112">
        <f>E5</f>
        <v>2023</v>
      </c>
      <c r="H5" s="113">
        <f>F5</f>
        <v>2024</v>
      </c>
    </row>
    <row r="6" spans="1:11" ht="29" thickBot="1">
      <c r="B6" s="88" t="s">
        <v>106</v>
      </c>
      <c r="C6" s="83"/>
      <c r="D6" s="77" t="s">
        <v>107</v>
      </c>
      <c r="E6" s="84">
        <f>'2. Macro'!K8</f>
        <v>73792.800000000003</v>
      </c>
      <c r="F6" s="84">
        <f>'2. Macro'!L8</f>
        <v>77939.899999999994</v>
      </c>
      <c r="G6" s="84">
        <f>'2. Macro'!K7</f>
        <v>73792.800000000003</v>
      </c>
      <c r="H6" s="89">
        <f>'2. Macro'!L7</f>
        <v>77939.899999999994</v>
      </c>
    </row>
    <row r="7" spans="1:11" s="10" customFormat="1" ht="14.5" thickBot="1">
      <c r="B7" s="371" t="s">
        <v>108</v>
      </c>
      <c r="C7" s="391" t="s">
        <v>109</v>
      </c>
      <c r="D7" s="78" t="s">
        <v>107</v>
      </c>
      <c r="E7" s="84">
        <f>E13-E15</f>
        <v>-507.59999999999854</v>
      </c>
      <c r="F7" s="84">
        <f>F13-F15</f>
        <v>-1006.1999999999971</v>
      </c>
      <c r="G7" s="84">
        <f>G13-G15</f>
        <v>-507.59999999999854</v>
      </c>
      <c r="H7" s="89">
        <f>H13-H15</f>
        <v>-1006.1999999999971</v>
      </c>
      <c r="J7" s="52"/>
      <c r="K7" s="52"/>
    </row>
    <row r="8" spans="1:11" s="10" customFormat="1" ht="14.5" thickBot="1">
      <c r="B8" s="371"/>
      <c r="C8" s="391"/>
      <c r="D8" s="78" t="s">
        <v>110</v>
      </c>
      <c r="E8" s="84">
        <f>E7/$E$6*100</f>
        <v>-0.68787198751097467</v>
      </c>
      <c r="F8" s="84">
        <f>F7/$F$6*100</f>
        <v>-1.2909947279891265</v>
      </c>
      <c r="G8" s="84">
        <f>G7/G6*100</f>
        <v>-0.68787198751097467</v>
      </c>
      <c r="H8" s="84">
        <f>H7/H6*100</f>
        <v>-1.2909947279891265</v>
      </c>
    </row>
    <row r="9" spans="1:11" s="10" customFormat="1" ht="14.5" thickBot="1">
      <c r="B9" s="392" t="s">
        <v>111</v>
      </c>
      <c r="C9" s="391" t="s">
        <v>112</v>
      </c>
      <c r="D9" s="78" t="s">
        <v>107</v>
      </c>
      <c r="E9" s="168">
        <v>811.91664293000031</v>
      </c>
      <c r="F9" s="168">
        <v>977.13189657999465</v>
      </c>
      <c r="G9" s="298">
        <v>811.91664293000031</v>
      </c>
      <c r="H9" s="299">
        <v>977.13189657999465</v>
      </c>
    </row>
    <row r="10" spans="1:11" s="10" customFormat="1" ht="14.5" thickBot="1">
      <c r="B10" s="392"/>
      <c r="C10" s="391"/>
      <c r="D10" s="78" t="s">
        <v>110</v>
      </c>
      <c r="E10" s="84">
        <f>E9/$E$6*100</f>
        <v>1.1002653957161137</v>
      </c>
      <c r="F10" s="84">
        <f>F9/$F$6*100</f>
        <v>1.2536991920441194</v>
      </c>
      <c r="G10" s="84">
        <f>G9/$G$6*100</f>
        <v>1.1002653957161137</v>
      </c>
      <c r="H10" s="89">
        <f>H9/$H$6*100</f>
        <v>1.2536991920441194</v>
      </c>
      <c r="I10" s="19"/>
    </row>
    <row r="11" spans="1:11" s="10" customFormat="1" ht="14.5" thickBot="1">
      <c r="B11" s="392" t="s">
        <v>113</v>
      </c>
      <c r="C11" s="391" t="s">
        <v>114</v>
      </c>
      <c r="D11" s="78" t="s">
        <v>107</v>
      </c>
      <c r="E11" s="168">
        <v>76.319999999999993</v>
      </c>
      <c r="F11" s="168">
        <v>-40.132026930000002</v>
      </c>
      <c r="G11" s="84">
        <f>E11</f>
        <v>76.319999999999993</v>
      </c>
      <c r="H11" s="89">
        <f>F11</f>
        <v>-40.132026930000002</v>
      </c>
      <c r="I11" s="19"/>
    </row>
    <row r="12" spans="1:11" s="10" customFormat="1" ht="14.5" thickBot="1">
      <c r="B12" s="392"/>
      <c r="C12" s="391"/>
      <c r="D12" s="78" t="s">
        <v>110</v>
      </c>
      <c r="E12" s="84">
        <f>E11/E6*100</f>
        <v>0.10342472436335251</v>
      </c>
      <c r="F12" s="84">
        <f>F11/F6*100</f>
        <v>-5.1490991045664687E-2</v>
      </c>
      <c r="G12" s="84">
        <f>G11/G6*100</f>
        <v>0.10342472436335251</v>
      </c>
      <c r="H12" s="89">
        <f>H11/H6*100</f>
        <v>-5.1490991045664687E-2</v>
      </c>
    </row>
    <row r="13" spans="1:11" s="10" customFormat="1" ht="14.5" thickBot="1">
      <c r="B13" s="371" t="s">
        <v>115</v>
      </c>
      <c r="C13" s="368" t="s">
        <v>116</v>
      </c>
      <c r="D13" s="78" t="s">
        <v>107</v>
      </c>
      <c r="E13" s="168">
        <v>27073.5</v>
      </c>
      <c r="F13" s="168">
        <v>29983.9</v>
      </c>
      <c r="G13" s="298">
        <v>27073.5</v>
      </c>
      <c r="H13" s="299">
        <v>29983.9</v>
      </c>
    </row>
    <row r="14" spans="1:11" s="10" customFormat="1" ht="14.5" thickBot="1">
      <c r="B14" s="372"/>
      <c r="C14" s="368"/>
      <c r="D14" s="78" t="s">
        <v>110</v>
      </c>
      <c r="E14" s="84">
        <f>E13/$E$6*100</f>
        <v>36.688538719224638</v>
      </c>
      <c r="F14" s="84">
        <f>F13/$F$6*100</f>
        <v>38.470539479778651</v>
      </c>
      <c r="G14" s="84">
        <f>G13/$G$6*100</f>
        <v>36.688538719224638</v>
      </c>
      <c r="H14" s="89">
        <f>H13/$H$6*100</f>
        <v>38.470539479778651</v>
      </c>
    </row>
    <row r="15" spans="1:11" s="10" customFormat="1" ht="14.5" thickBot="1">
      <c r="B15" s="371" t="s">
        <v>117</v>
      </c>
      <c r="C15" s="368" t="s">
        <v>118</v>
      </c>
      <c r="D15" s="78" t="s">
        <v>107</v>
      </c>
      <c r="E15" s="168">
        <v>27581.1</v>
      </c>
      <c r="F15" s="168">
        <v>30990.1</v>
      </c>
      <c r="G15" s="298">
        <v>27581.1</v>
      </c>
      <c r="H15" s="299">
        <v>30990.1</v>
      </c>
      <c r="I15" s="52"/>
    </row>
    <row r="16" spans="1:11" s="10" customFormat="1" ht="14.5" thickBot="1">
      <c r="B16" s="372"/>
      <c r="C16" s="368"/>
      <c r="D16" s="78" t="s">
        <v>110</v>
      </c>
      <c r="E16" s="84">
        <f>E15/E6*100</f>
        <v>37.376410706735612</v>
      </c>
      <c r="F16" s="84">
        <f>F15/F6*100</f>
        <v>39.761534207767781</v>
      </c>
      <c r="G16" s="84">
        <f>G15/$G$6*100</f>
        <v>37.376410706735612</v>
      </c>
      <c r="H16" s="89">
        <f>H15/$H$6*100</f>
        <v>39.761534207767781</v>
      </c>
    </row>
    <row r="17" spans="2:11" s="10" customFormat="1" ht="14.5" thickBot="1">
      <c r="B17" s="392" t="s">
        <v>119</v>
      </c>
      <c r="C17" s="368" t="s">
        <v>120</v>
      </c>
      <c r="D17" s="78" t="s">
        <v>107</v>
      </c>
      <c r="E17" s="300">
        <v>16193.827000000001</v>
      </c>
      <c r="F17" s="301">
        <v>17325.339</v>
      </c>
      <c r="G17" s="300">
        <f>E17</f>
        <v>16193.827000000001</v>
      </c>
      <c r="H17" s="302">
        <f>F17</f>
        <v>17325.339</v>
      </c>
    </row>
    <row r="18" spans="2:11" s="10" customFormat="1" ht="14.5" thickBot="1">
      <c r="B18" s="392"/>
      <c r="C18" s="368"/>
      <c r="D18" s="78" t="s">
        <v>110</v>
      </c>
      <c r="E18" s="84">
        <f>E17/$E$6*100</f>
        <v>21.944995988768554</v>
      </c>
      <c r="F18" s="84">
        <f>F17/F6*100</f>
        <v>22.229100884142781</v>
      </c>
      <c r="G18" s="84">
        <f>G17/G6*100</f>
        <v>21.944995988768554</v>
      </c>
      <c r="H18" s="89">
        <f>H17/H6*100</f>
        <v>22.229100884142781</v>
      </c>
    </row>
    <row r="19" spans="2:11" s="10" customFormat="1" ht="14.5" thickBot="1">
      <c r="B19" s="392" t="s">
        <v>121</v>
      </c>
      <c r="C19" s="368" t="s">
        <v>122</v>
      </c>
      <c r="D19" s="78" t="s">
        <v>107</v>
      </c>
      <c r="E19" s="300">
        <v>9565.1329999999998</v>
      </c>
      <c r="F19" s="301">
        <v>10756.374</v>
      </c>
      <c r="G19" s="300">
        <f>E19</f>
        <v>9565.1329999999998</v>
      </c>
      <c r="H19" s="302">
        <f>F19</f>
        <v>10756.374</v>
      </c>
    </row>
    <row r="20" spans="2:11" s="10" customFormat="1" ht="14.5" thickBot="1">
      <c r="B20" s="393"/>
      <c r="C20" s="368"/>
      <c r="D20" s="78" t="s">
        <v>110</v>
      </c>
      <c r="E20" s="84">
        <f t="shared" ref="E20" si="0">E19/E6*100</f>
        <v>12.962149423792022</v>
      </c>
      <c r="F20" s="84">
        <f>F19/F6*100</f>
        <v>13.80085681403235</v>
      </c>
      <c r="G20" s="84">
        <f>G19/G6*100</f>
        <v>12.962149423792022</v>
      </c>
      <c r="H20" s="89">
        <f>H19/H6*100</f>
        <v>13.80085681403235</v>
      </c>
      <c r="J20" s="1"/>
      <c r="K20" s="1"/>
    </row>
    <row r="21" spans="2:11" s="10" customFormat="1" ht="14.5" thickBot="1">
      <c r="B21" s="371" t="s">
        <v>123</v>
      </c>
      <c r="C21" s="391" t="s">
        <v>124</v>
      </c>
      <c r="D21" s="78" t="s">
        <v>107</v>
      </c>
      <c r="E21" s="84">
        <f>E19+E17</f>
        <v>25758.959999999999</v>
      </c>
      <c r="F21" s="84">
        <f>F19+F17</f>
        <v>28081.713</v>
      </c>
      <c r="G21" s="84">
        <f>G19+G17</f>
        <v>25758.959999999999</v>
      </c>
      <c r="H21" s="89">
        <f>H17+H19</f>
        <v>28081.713</v>
      </c>
      <c r="J21" s="1"/>
      <c r="K21" s="1"/>
    </row>
    <row r="22" spans="2:11" s="10" customFormat="1" ht="16.5" customHeight="1" thickBot="1">
      <c r="B22" s="371"/>
      <c r="C22" s="391"/>
      <c r="D22" s="78" t="s">
        <v>110</v>
      </c>
      <c r="E22" s="84">
        <f>E21/E6*100</f>
        <v>34.907145412560574</v>
      </c>
      <c r="F22" s="84">
        <f>F21/F6*100</f>
        <v>36.029957698175139</v>
      </c>
      <c r="G22" s="84">
        <f>G21/$G$6*100</f>
        <v>34.907145412560574</v>
      </c>
      <c r="H22" s="89">
        <f>H21/$H$6*100</f>
        <v>36.029957698175139</v>
      </c>
      <c r="J22" s="1"/>
      <c r="K22" s="1"/>
    </row>
    <row r="23" spans="2:11" s="10" customFormat="1" ht="14.5" thickBot="1">
      <c r="B23" s="371" t="s">
        <v>125</v>
      </c>
      <c r="C23" s="368" t="s">
        <v>126</v>
      </c>
      <c r="D23" s="78" t="s">
        <v>107</v>
      </c>
      <c r="E23" s="166">
        <v>-104.6</v>
      </c>
      <c r="F23" s="166">
        <v>-0.8</v>
      </c>
      <c r="G23" s="166">
        <f>E23</f>
        <v>-104.6</v>
      </c>
      <c r="H23" s="167">
        <f>F23</f>
        <v>-0.8</v>
      </c>
      <c r="J23" s="1"/>
      <c r="K23" s="1"/>
    </row>
    <row r="24" spans="2:11" ht="14.5" thickBot="1">
      <c r="B24" s="372"/>
      <c r="C24" s="368"/>
      <c r="D24" s="78" t="s">
        <v>110</v>
      </c>
      <c r="E24" s="84">
        <f>E23/E6*100</f>
        <v>-0.14174824644138723</v>
      </c>
      <c r="F24" s="84">
        <f>F23/F6*100</f>
        <v>-1.0264319045828903E-3</v>
      </c>
      <c r="G24" s="84">
        <f>G23/G6*100</f>
        <v>-0.14174824644138723</v>
      </c>
      <c r="H24" s="89">
        <f>H23/H6*100</f>
        <v>-1.0264319045828903E-3</v>
      </c>
    </row>
    <row r="25" spans="2:11" ht="14.5" thickBot="1">
      <c r="B25" s="371" t="s">
        <v>127</v>
      </c>
      <c r="C25" s="368" t="s">
        <v>128</v>
      </c>
      <c r="D25" s="78" t="s">
        <v>107</v>
      </c>
      <c r="E25" s="166">
        <v>0</v>
      </c>
      <c r="F25" s="166">
        <v>0</v>
      </c>
      <c r="G25" s="166">
        <v>0</v>
      </c>
      <c r="H25" s="167">
        <v>0</v>
      </c>
    </row>
    <row r="26" spans="2:11" ht="14.5" thickBot="1">
      <c r="B26" s="372"/>
      <c r="C26" s="368"/>
      <c r="D26" s="78" t="s">
        <v>110</v>
      </c>
      <c r="E26" s="84">
        <f>E25/$E$6*100</f>
        <v>0</v>
      </c>
      <c r="F26" s="84">
        <f>F25/$F$6*100</f>
        <v>0</v>
      </c>
      <c r="G26" s="84">
        <f>G25/$G$6*100</f>
        <v>0</v>
      </c>
      <c r="H26" s="89">
        <f>H25/$H$6*100</f>
        <v>0</v>
      </c>
    </row>
    <row r="27" spans="2:11" ht="14.5" thickBot="1">
      <c r="B27" s="371" t="s">
        <v>129</v>
      </c>
      <c r="C27" s="368" t="s">
        <v>130</v>
      </c>
      <c r="D27" s="78" t="s">
        <v>107</v>
      </c>
      <c r="E27" s="166">
        <v>0</v>
      </c>
      <c r="F27" s="166">
        <v>0</v>
      </c>
      <c r="G27" s="166">
        <v>0</v>
      </c>
      <c r="H27" s="167">
        <v>0</v>
      </c>
    </row>
    <row r="28" spans="2:11" ht="14.5" thickBot="1">
      <c r="B28" s="372"/>
      <c r="C28" s="368"/>
      <c r="D28" s="78" t="s">
        <v>110</v>
      </c>
      <c r="E28" s="84">
        <f>E27/$E$6*100</f>
        <v>0</v>
      </c>
      <c r="F28" s="84">
        <f>F27/$F$6*100</f>
        <v>0</v>
      </c>
      <c r="G28" s="84">
        <f>G27/$G$6*100</f>
        <v>0</v>
      </c>
      <c r="H28" s="89">
        <f>H27/$H$6*100</f>
        <v>0</v>
      </c>
    </row>
    <row r="29" spans="2:11" ht="29" thickBot="1">
      <c r="B29" s="90" t="s">
        <v>131</v>
      </c>
      <c r="C29" s="78" t="s">
        <v>132</v>
      </c>
      <c r="D29" s="78" t="s">
        <v>110</v>
      </c>
      <c r="E29" s="204">
        <v>0</v>
      </c>
      <c r="F29" s="204">
        <v>0</v>
      </c>
      <c r="G29" s="204">
        <f>E29</f>
        <v>0</v>
      </c>
      <c r="H29" s="205">
        <f>F29</f>
        <v>0</v>
      </c>
    </row>
    <row r="30" spans="2:11" ht="33" customHeight="1" thickBot="1">
      <c r="B30" s="90" t="s">
        <v>133</v>
      </c>
      <c r="C30" s="78" t="s">
        <v>134</v>
      </c>
      <c r="D30" s="78" t="s">
        <v>110</v>
      </c>
      <c r="E30" s="166">
        <f>E8-'2. Macro'!K22-E24+E29</f>
        <v>0.22649416719686172</v>
      </c>
      <c r="F30" s="166">
        <f>F8-'2. Macro'!L22-F24+F29</f>
        <v>-0.4716264289664483</v>
      </c>
      <c r="G30" s="114">
        <f>G8-'2. Macro'!K21-G24+G29</f>
        <v>-0.54705426809729696</v>
      </c>
      <c r="H30" s="115">
        <f>H8-'2. Macro'!L21-H24+H29</f>
        <v>-1.0856433081993331</v>
      </c>
    </row>
    <row r="31" spans="2:11" ht="29" thickBot="1">
      <c r="B31" s="90" t="s">
        <v>135</v>
      </c>
      <c r="C31" s="78" t="s">
        <v>136</v>
      </c>
      <c r="D31" s="78" t="s">
        <v>110</v>
      </c>
      <c r="E31" s="193">
        <f>E10-'2. Macro'!K24-E26</f>
        <v>1.2784128833364479</v>
      </c>
      <c r="F31" s="193">
        <f>F10-'2. Macro'!L24-F26</f>
        <v>1.4405508559543887</v>
      </c>
      <c r="G31" s="193">
        <f>G10-'2. Macro'!L23-G26</f>
        <v>1.1469188366542489</v>
      </c>
      <c r="H31" s="194">
        <f>H10-'2. Macro'!L23-H26</f>
        <v>1.3003526329822543</v>
      </c>
    </row>
    <row r="32" spans="2:11" ht="29" thickBot="1">
      <c r="B32" s="90" t="s">
        <v>137</v>
      </c>
      <c r="C32" s="78" t="s">
        <v>138</v>
      </c>
      <c r="D32" s="78" t="s">
        <v>110</v>
      </c>
      <c r="E32" s="193">
        <f>E12-'2. Macro'!K26-E28</f>
        <v>0.19249846817351957</v>
      </c>
      <c r="F32" s="193">
        <f>F12-'2. Macro'!L26-F28</f>
        <v>4.6466537768203441E-2</v>
      </c>
      <c r="G32" s="204">
        <f>G12-'2. Macro'!K25-G28</f>
        <v>0.10331744555815292</v>
      </c>
      <c r="H32" s="205">
        <f>H12-'2. Macro'!L25-H28</f>
        <v>-2.7032788804778517E-2</v>
      </c>
    </row>
    <row r="33" spans="2:13" ht="29" thickBot="1">
      <c r="B33" s="90" t="s">
        <v>139</v>
      </c>
      <c r="C33" s="85" t="s">
        <v>140</v>
      </c>
      <c r="D33" s="78" t="s">
        <v>110</v>
      </c>
      <c r="E33" s="219">
        <v>-1</v>
      </c>
      <c r="F33" s="219">
        <v>-1</v>
      </c>
      <c r="G33" s="219">
        <v>-1</v>
      </c>
      <c r="H33" s="220">
        <v>-1</v>
      </c>
    </row>
    <row r="34" spans="2:13" ht="29" thickBot="1">
      <c r="B34" s="91" t="s">
        <v>141</v>
      </c>
      <c r="C34" s="92" t="s">
        <v>142</v>
      </c>
      <c r="D34" s="93" t="s">
        <v>110</v>
      </c>
      <c r="E34" s="92">
        <v>0</v>
      </c>
      <c r="F34" s="92">
        <v>0</v>
      </c>
      <c r="G34" s="92">
        <v>0</v>
      </c>
      <c r="H34" s="94">
        <v>0</v>
      </c>
      <c r="J34" s="54"/>
      <c r="K34" s="54"/>
    </row>
    <row r="35" spans="2:13" ht="14.5" thickTop="1">
      <c r="C35" s="20"/>
      <c r="D35" s="20"/>
      <c r="E35" s="20"/>
      <c r="F35" s="20"/>
      <c r="G35" s="20"/>
      <c r="H35" s="20"/>
    </row>
    <row r="36" spans="2:13" ht="15" thickBot="1">
      <c r="C36" s="6" t="s">
        <v>43</v>
      </c>
      <c r="D36" s="6"/>
      <c r="E36" s="43" t="s">
        <v>44</v>
      </c>
    </row>
    <row r="37" spans="2:13" ht="15.5" thickTop="1" thickBot="1">
      <c r="B37" s="21"/>
      <c r="C37" s="22" t="s">
        <v>143</v>
      </c>
      <c r="D37" s="101"/>
      <c r="E37" s="74" t="s">
        <v>144</v>
      </c>
      <c r="F37" s="11"/>
      <c r="G37" s="11"/>
    </row>
    <row r="38" spans="2:13" ht="15" customHeight="1" thickBot="1">
      <c r="B38" s="23"/>
      <c r="C38" s="6" t="s">
        <v>98</v>
      </c>
      <c r="D38" s="111"/>
      <c r="E38" s="398" t="s">
        <v>311</v>
      </c>
      <c r="F38" s="375"/>
      <c r="G38" s="375"/>
      <c r="H38" s="375"/>
      <c r="I38" s="375"/>
      <c r="J38" s="375"/>
      <c r="K38" s="375"/>
      <c r="L38" s="375"/>
      <c r="M38" s="54"/>
    </row>
    <row r="39" spans="2:13" ht="15.5" thickTop="1" thickBot="1">
      <c r="C39" s="6"/>
      <c r="E39" s="38"/>
    </row>
    <row r="40" spans="2:13" ht="15" thickTop="1" thickBot="1">
      <c r="C40" s="15" t="s">
        <v>100</v>
      </c>
      <c r="D40" s="100"/>
      <c r="E40" s="75" t="s">
        <v>101</v>
      </c>
      <c r="F40" s="35"/>
      <c r="G40" s="35"/>
    </row>
    <row r="41" spans="2:13" ht="14.4" customHeight="1" thickTop="1">
      <c r="C41" s="388"/>
      <c r="D41" s="388"/>
      <c r="E41" s="11"/>
      <c r="F41" s="11"/>
      <c r="G41" s="11"/>
      <c r="H41" s="11"/>
    </row>
    <row r="42" spans="2:13">
      <c r="C42" s="388"/>
      <c r="D42" s="388"/>
      <c r="E42" s="11"/>
      <c r="F42" s="11"/>
      <c r="G42" s="11"/>
      <c r="H42" s="11"/>
    </row>
  </sheetData>
  <mergeCells count="31">
    <mergeCell ref="E38:L38"/>
    <mergeCell ref="B27:B28"/>
    <mergeCell ref="B15:B16"/>
    <mergeCell ref="C15:C16"/>
    <mergeCell ref="B23:B24"/>
    <mergeCell ref="C23:C24"/>
    <mergeCell ref="B25:B26"/>
    <mergeCell ref="C25:C26"/>
    <mergeCell ref="B21:B22"/>
    <mergeCell ref="C21:C22"/>
    <mergeCell ref="B3:C3"/>
    <mergeCell ref="B4:B5"/>
    <mergeCell ref="C4:C5"/>
    <mergeCell ref="D4:D5"/>
    <mergeCell ref="E4:F4"/>
    <mergeCell ref="C42:D42"/>
    <mergeCell ref="C41:D41"/>
    <mergeCell ref="G4:H4"/>
    <mergeCell ref="B7:B8"/>
    <mergeCell ref="C7:C8"/>
    <mergeCell ref="B13:B14"/>
    <mergeCell ref="C13:C14"/>
    <mergeCell ref="B11:B12"/>
    <mergeCell ref="C11:C12"/>
    <mergeCell ref="B9:B10"/>
    <mergeCell ref="C9:C10"/>
    <mergeCell ref="B19:B20"/>
    <mergeCell ref="C19:C20"/>
    <mergeCell ref="B17:B18"/>
    <mergeCell ref="C17:C18"/>
    <mergeCell ref="C27:C28"/>
  </mergeCells>
  <hyperlinks>
    <hyperlink ref="B1" location="Content!A1" display="↖ atgal į turinį" xr:uid="{8D49A034-0168-4894-B604-40CFF3F7B0DE}"/>
  </hyperlink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5AF26-555D-4185-9071-ED9B1F6A1AFC}">
  <sheetPr codeName="Lapas5">
    <tabColor theme="7"/>
  </sheetPr>
  <dimension ref="A1:L45"/>
  <sheetViews>
    <sheetView showGridLines="0" showRowColHeaders="0" zoomScaleNormal="100" workbookViewId="0"/>
  </sheetViews>
  <sheetFormatPr defaultColWidth="10" defaultRowHeight="14"/>
  <cols>
    <col min="1" max="1" width="3.6328125" style="1" customWidth="1"/>
    <col min="2" max="2" width="5.36328125" style="1" customWidth="1"/>
    <col min="3" max="3" width="62.54296875" style="1" customWidth="1"/>
    <col min="4" max="4" width="23.36328125" style="1" customWidth="1"/>
    <col min="5" max="6" width="18.90625" style="1" customWidth="1"/>
    <col min="7" max="16384" width="10" style="1"/>
  </cols>
  <sheetData>
    <row r="1" spans="1:12">
      <c r="A1" s="221"/>
      <c r="B1" s="426" t="s">
        <v>19</v>
      </c>
      <c r="C1" s="426"/>
      <c r="D1" s="221"/>
      <c r="E1" s="20"/>
      <c r="F1" s="20"/>
    </row>
    <row r="2" spans="1:12" ht="14.5" thickBot="1">
      <c r="A2" s="222" t="s">
        <v>20</v>
      </c>
      <c r="B2" s="20"/>
      <c r="C2" s="20"/>
      <c r="D2" s="20"/>
      <c r="E2" s="20"/>
      <c r="F2" s="20"/>
    </row>
    <row r="3" spans="1:12" ht="34.5" customHeight="1" thickTop="1" thickBot="1">
      <c r="A3" s="212"/>
      <c r="B3" s="427" t="s">
        <v>320</v>
      </c>
      <c r="C3" s="428"/>
      <c r="D3" s="428"/>
      <c r="E3" s="428"/>
      <c r="F3" s="429"/>
    </row>
    <row r="4" spans="1:12" ht="41.25" customHeight="1" thickBot="1">
      <c r="A4" s="20"/>
      <c r="B4" s="161" t="s">
        <v>145</v>
      </c>
      <c r="C4" s="102" t="s">
        <v>146</v>
      </c>
      <c r="D4" s="102" t="s">
        <v>147</v>
      </c>
      <c r="E4" s="430" t="s">
        <v>148</v>
      </c>
      <c r="F4" s="431"/>
      <c r="J4" s="41"/>
      <c r="K4" s="41"/>
      <c r="L4" s="41"/>
    </row>
    <row r="5" spans="1:12" ht="33" customHeight="1" thickBot="1">
      <c r="A5" s="20"/>
      <c r="B5" s="432" t="s">
        <v>149</v>
      </c>
      <c r="C5" s="433"/>
      <c r="D5" s="433"/>
      <c r="E5" s="160" t="s">
        <v>23</v>
      </c>
      <c r="F5" s="116" t="s">
        <v>24</v>
      </c>
      <c r="J5" s="41"/>
      <c r="K5" s="41"/>
      <c r="L5" s="41"/>
    </row>
    <row r="6" spans="1:12" ht="14.25" customHeight="1">
      <c r="A6" s="20"/>
      <c r="B6" s="434"/>
      <c r="C6" s="217" t="s">
        <v>150</v>
      </c>
      <c r="D6" s="420"/>
      <c r="E6" s="404" t="str">
        <f>"Taip"</f>
        <v>Taip</v>
      </c>
      <c r="F6" s="405"/>
    </row>
    <row r="7" spans="1:12" ht="14.25" customHeight="1" thickBot="1">
      <c r="A7" s="20"/>
      <c r="B7" s="435"/>
      <c r="C7" s="218" t="s">
        <v>29</v>
      </c>
      <c r="D7" s="421"/>
      <c r="E7" s="418" t="str">
        <f>"Yes"</f>
        <v>Yes</v>
      </c>
      <c r="F7" s="419"/>
    </row>
    <row r="8" spans="1:12" ht="18" customHeight="1">
      <c r="A8" s="20"/>
      <c r="B8" s="423" t="s">
        <v>275</v>
      </c>
      <c r="C8" s="413" t="s">
        <v>151</v>
      </c>
      <c r="D8" s="415" t="s">
        <v>152</v>
      </c>
      <c r="E8" s="104" t="str">
        <f>IF(E28&gt;eps,"Tiesa","Netiesa")</f>
        <v>Netiesa</v>
      </c>
      <c r="F8" s="117" t="str">
        <f>IF(F28&gt;eps,"Tiesa","Netiesa")</f>
        <v>Netiesa</v>
      </c>
    </row>
    <row r="9" spans="1:12" ht="15.75" customHeight="1">
      <c r="A9" s="20"/>
      <c r="B9" s="424"/>
      <c r="C9" s="414"/>
      <c r="D9" s="416"/>
      <c r="E9" s="148" t="str">
        <f>CONCATENATE(FIXED(E28,1),IF(E28="Tiesa"," ≥ "," &lt; "),FIXED(0,1))</f>
        <v>-0,5 &lt; 0,0</v>
      </c>
      <c r="F9" s="206" t="str">
        <f>CONCATENATE(FIXED(F28,1),IF(F28="Tiesa"," ≥ "," &lt; "),FIXED(0,1))</f>
        <v>-1,1 &lt; 0,0</v>
      </c>
      <c r="H9" s="24"/>
    </row>
    <row r="10" spans="1:12" ht="15" thickBot="1">
      <c r="A10" s="20"/>
      <c r="B10" s="425"/>
      <c r="C10" s="207" t="s">
        <v>153</v>
      </c>
      <c r="D10" s="417"/>
      <c r="E10" s="154" t="str">
        <f>IF(E8="Tiesa","True","False")</f>
        <v>False</v>
      </c>
      <c r="F10" s="118" t="str">
        <f>IF(F8="Tiesa","True","False")</f>
        <v>False</v>
      </c>
      <c r="H10" s="24"/>
    </row>
    <row r="11" spans="1:12" ht="36" customHeight="1">
      <c r="A11" s="20"/>
      <c r="B11" s="423" t="s">
        <v>276</v>
      </c>
      <c r="C11" s="413" t="s">
        <v>154</v>
      </c>
      <c r="D11" s="415" t="s">
        <v>155</v>
      </c>
      <c r="E11" s="104" t="str">
        <f>IF((ABS(E28)+eps&lt;ABS($E$30))*(ABS(E28)&lt;ABS(E29))*(E31&gt;=-eps),"Tiesa","Netiesa")</f>
        <v>Netiesa</v>
      </c>
      <c r="F11" s="117" t="str">
        <f>IF((ABS(F28)+eps&lt;ABS($E$30))*(ABS(F28)&lt;ABS(F29))*(F31&gt;=-eps),"Tiesa","Netiesa")</f>
        <v>Netiesa</v>
      </c>
      <c r="I11" s="12"/>
    </row>
    <row r="12" spans="1:12" ht="43.5" customHeight="1">
      <c r="A12" s="20"/>
      <c r="B12" s="424"/>
      <c r="C12" s="414"/>
      <c r="D12" s="416"/>
      <c r="E12" s="106" t="str">
        <f>CONCATENATE(FIXED(ABS(E28),1),IF(ABS(E28)+eps&lt;ABS($E$30)," &lt; "," ≥ "),FIXED(ABS($E$30),1)," &amp;
",FIXED(ABS(E28),1),IF(ABS(E28)&lt;ABS(E29)," &lt; "," ≥ "),FIXED(ABS(E29),1)," &amp;
",FIXED(E31,1),IF(E31&lt;-eps," &lt; "," ≥ "),FIXED(0,1))</f>
        <v>0,5 &lt; 1,0 &amp;
0,5 ≥ 0,2 &amp;
-2,1 &lt; 0,0</v>
      </c>
      <c r="F12" s="208" t="str">
        <f>CONCATENATE(FIXED(ABS(F28),1),IF(ABS(F28)+eps&lt;ABS($E$30)," &lt; "," ≥ "),FIXED(ABS($E$30),1)," &amp;
",FIXED(ABS(F28),1),IF(ABS(F28)&lt;ABS(F29)," &lt; "," ≥ "),FIXED(ABS(F29),1)," &amp;
",FIXED(F31,1),IF(F31&lt;-eps," &lt; "," ≥ "),FIXED(0,1))</f>
        <v>1,1 ≥ 1,0 &amp;
1,1 ≥ 0,5 &amp;
-0,5 &lt; 0,0</v>
      </c>
      <c r="G12" s="25"/>
      <c r="H12" s="26"/>
      <c r="I12" s="12"/>
      <c r="J12" s="12"/>
    </row>
    <row r="13" spans="1:12" ht="45" customHeight="1" thickBot="1">
      <c r="A13" s="20"/>
      <c r="B13" s="425"/>
      <c r="C13" s="207" t="s">
        <v>156</v>
      </c>
      <c r="D13" s="417"/>
      <c r="E13" s="105" t="str">
        <f>IF(E11="Tiesa","True","False")</f>
        <v>False</v>
      </c>
      <c r="F13" s="119" t="str">
        <f>IF(F11="Tiesa","True","False")</f>
        <v>False</v>
      </c>
      <c r="G13" s="25"/>
      <c r="H13" s="26"/>
      <c r="I13" s="12"/>
      <c r="J13" s="12"/>
    </row>
    <row r="14" spans="1:12" ht="33.75" customHeight="1">
      <c r="A14" s="20"/>
      <c r="B14" s="423" t="s">
        <v>277</v>
      </c>
      <c r="C14" s="413" t="s">
        <v>157</v>
      </c>
      <c r="D14" s="415" t="s">
        <v>158</v>
      </c>
      <c r="E14" s="104" t="str">
        <f>IF((ABS(E28)+eps&lt;ABS($E$30))*(E31&lt;-eps),"Tiesa","Netiesa")</f>
        <v>Tiesa</v>
      </c>
      <c r="F14" s="117" t="str">
        <f>IF((ABS(F28)+eps&lt;ABS($E$30))*(F31&lt;-eps),"Tiesa","Netiesa")</f>
        <v>Netiesa</v>
      </c>
      <c r="I14" s="12"/>
      <c r="J14" s="12"/>
    </row>
    <row r="15" spans="1:12" ht="33" customHeight="1">
      <c r="A15" s="20"/>
      <c r="B15" s="424"/>
      <c r="C15" s="414"/>
      <c r="D15" s="416"/>
      <c r="E15" s="106" t="str">
        <f>CONCATENATE(FIXED(ABS(E28),1),IF(ABS(E28)+eps&lt;ABS($E$30)," &lt; "," ≥ "),FIXED(ABS($E$30),1)," &amp;
",FIXED(E31,1),IF(E31&lt;-eps," &lt; "," ≥ "),FIXED(0,1))</f>
        <v>0,5 &lt; 1,0 &amp;
-2,1 &lt; 0,0</v>
      </c>
      <c r="F15" s="208" t="str">
        <f>CONCATENATE(FIXED(ABS(F28),1),IF(ABS(F28)+eps&lt;ABS($E$30)," &lt; "," ≥ "),FIXED(ABS($E$30),1)," &amp;
",FIXED(F31,1),IF(F31&lt;-eps," &lt; "," ≥ "),FIXED(0,1))</f>
        <v>1,1 ≥ 1,0 &amp;
-0,5 &lt; 0,0</v>
      </c>
    </row>
    <row r="16" spans="1:12" ht="44.25" customHeight="1" thickBot="1">
      <c r="A16" s="20"/>
      <c r="B16" s="425"/>
      <c r="C16" s="207" t="s">
        <v>159</v>
      </c>
      <c r="D16" s="417"/>
      <c r="E16" s="105" t="str">
        <f>IF(E14="Tiesa","True","False")</f>
        <v>True</v>
      </c>
      <c r="F16" s="120" t="str">
        <f>IF(F14="Tiesa","True","False")</f>
        <v>False</v>
      </c>
    </row>
    <row r="17" spans="1:6" ht="34.5" customHeight="1">
      <c r="A17" s="20"/>
      <c r="B17" s="423" t="s">
        <v>278</v>
      </c>
      <c r="C17" s="437" t="s">
        <v>160</v>
      </c>
      <c r="D17" s="410" t="s">
        <v>161</v>
      </c>
      <c r="E17" s="104" t="str">
        <f>IF(($E$32&gt;0),IF((E28&gt;=E29+$E$32),"Tiesa","Netiesa"),"Netaikoma")</f>
        <v>Netaikoma</v>
      </c>
      <c r="F17" s="121" t="str">
        <f>IF(($E$32&gt;0),IF((E28&gt;=E29+$E$32),"Tiesa","Netiesa"),"Netaikoma")</f>
        <v>Netaikoma</v>
      </c>
    </row>
    <row r="18" spans="1:6" ht="15.75" customHeight="1">
      <c r="A18" s="20"/>
      <c r="B18" s="424"/>
      <c r="C18" s="438"/>
      <c r="D18" s="411"/>
      <c r="E18" s="106" t="str">
        <f>IF($E$32=0,"",CONCATENATE(FIXED(E28,1),IF(E28&gt;=E29+$E$32," ≥ "," &lt; "),FIXED(E29,1)," + ",FIXED($E$32,1)," = ",FIXED(E29+$E$32,1)))</f>
        <v/>
      </c>
      <c r="F18" s="208" t="str">
        <f>IF($E$32=0,"",CONCATENATE(FIXED(F28,1),IF(F28&gt;=F29+$E$32," ≥ "," &lt; "),FIXED(F29,1)," + ",FIXED($E$32,1)," = ",FIXED(F29+$E$32,1)))</f>
        <v/>
      </c>
    </row>
    <row r="19" spans="1:6" ht="47.25" customHeight="1" thickBot="1">
      <c r="A19" s="20"/>
      <c r="B19" s="425"/>
      <c r="C19" s="209" t="s">
        <v>162</v>
      </c>
      <c r="D19" s="439"/>
      <c r="E19" s="105" t="str">
        <f>IF(E17="Tiesa","True",IF(E17="Netaikoma","Not applicable","False"))</f>
        <v>Not applicable</v>
      </c>
      <c r="F19" s="120" t="str">
        <f>IF(F17="Tiesa","True",IF(F17="Netaikoma","Not applicable","False"))</f>
        <v>Not applicable</v>
      </c>
    </row>
    <row r="20" spans="1:6">
      <c r="A20" s="20"/>
      <c r="B20" s="423" t="s">
        <v>163</v>
      </c>
      <c r="C20" s="408" t="s">
        <v>257</v>
      </c>
      <c r="D20" s="410"/>
      <c r="E20" s="157" t="str">
        <f>IF(E6="Taip","Netaikoma", IF(OR(E8="Tiesa",E11="Tiesa",E14="Tiesa",E17="Tiesa"),"Taip","Ne"))</f>
        <v>Netaikoma</v>
      </c>
      <c r="F20" s="122" t="str">
        <f>IF(E6="Taip","Netaikoma", IF(OR(F8="Tiesa",F11="Tiesa",F14="Tiesa",F17="Tiesa"),"Taip","Ne"))</f>
        <v>Netaikoma</v>
      </c>
    </row>
    <row r="21" spans="1:6" ht="44" customHeight="1">
      <c r="A21" s="20"/>
      <c r="B21" s="424"/>
      <c r="C21" s="409"/>
      <c r="D21" s="411"/>
      <c r="E21" s="158" t="str">
        <f>IF($E$6="Taip","Paskelbtos išskirtinės aplinkybės",IF(E20="Taip",IF(E34=1,CONCATENATE("Tenkinama ",I30,I31,I32,I33," sąlyga"),CONCATENATE("Tenkinamos ", IF(E30=1,CONCATENATE(I30," "),""),IF(E31=1,CONCATENATE(I31," "),""),IF(E32=1,CONCATENATE(I32," "),""),IF(E33=1,CONCATENATE(I33," "),""),"sąlygos")),"Netenkinama nei viena iš sąlygų"))</f>
        <v>Paskelbtos išskirtinės aplinkybės</v>
      </c>
      <c r="F21" s="123" t="str">
        <f>IF($E$6="Taip","Paskelbtos išskirtinės aplinkybės",IF(E20="Taip",IF(E34=1,CONCATENATE("Tenkinama ",I30,I31,I32,I33," sąlyga"),CONCATENATE("Tenkinamos ", IF(E30=1,CONCATENATE(I30," "),""),IF(E31=1,CONCATENATE(I31," "),""),IF(E32=1,CONCATENATE(I32," "),""),IF(E33=1,CONCATENATE(I33," "),""),"sąlygos")),"Netenkinama nei viena iš sąlygų"))</f>
        <v>Paskelbtos išskirtinės aplinkybės</v>
      </c>
    </row>
    <row r="22" spans="1:6" ht="21" customHeight="1">
      <c r="A22" s="20"/>
      <c r="B22" s="424"/>
      <c r="C22" s="440" t="s">
        <v>164</v>
      </c>
      <c r="D22" s="411"/>
      <c r="E22" s="164" t="str">
        <f>IF(E20="Taip","Yes",IF(E20="Netaikoma","Not applicable","False"))</f>
        <v>Not applicable</v>
      </c>
      <c r="F22" s="124" t="str">
        <f>IF(F20="Taip","Yes",IF(F20="Netaikoma","Not applicable","False"))</f>
        <v>Not applicable</v>
      </c>
    </row>
    <row r="23" spans="1:6" ht="28.5" customHeight="1" thickBot="1">
      <c r="A23" s="20"/>
      <c r="B23" s="436"/>
      <c r="C23" s="441"/>
      <c r="D23" s="412"/>
      <c r="E23" s="165" t="str">
        <f>IF($E$6="Taip","Exceptional circumstances",IF(J16="Yes",IF(E33=1,CONCATENATE("Condition ",J29,J30,J31,J32," is valid"),CONCATENATE("Conditions ", IF(E29=1,CONCATENATE(J29," "),""),IF(E30=1,CONCATENATE(J30," "),""),IF(E31=1,CONCATENATE(J31," "),""),IF(E32=1,CONCATENATE(J32," "),""),"are valid")),"None of the conditions is valid"))</f>
        <v>Exceptional circumstances</v>
      </c>
      <c r="F23" s="125" t="str">
        <f>IF($E$6="Taip","Exceptional circumstances",IF(J16="Yes",IF(E33=1,CONCATENATE("Condition ",J29,J30,J31,J32," is valid"),CONCATENATE("Conditions ", IF(E29=1,CONCATENATE(J29," "),""),IF(E30=1,CONCATENATE(J30," "),""),IF(E31=1,CONCATENATE(J31," "),""),IF(E32=1,CONCATENATE(J32," "),""),"are valid")),"None of the conditions is valid"))</f>
        <v>Exceptional circumstances</v>
      </c>
    </row>
    <row r="24" spans="1:6" ht="15.75" customHeight="1" thickTop="1">
      <c r="A24" s="20"/>
      <c r="B24" s="20"/>
      <c r="C24" s="399" t="s">
        <v>165</v>
      </c>
      <c r="D24" s="399"/>
      <c r="E24" s="399"/>
      <c r="F24" s="399"/>
    </row>
    <row r="25" spans="1:6" ht="15.75" customHeight="1">
      <c r="A25" s="20"/>
      <c r="B25" s="20"/>
      <c r="C25" s="422" t="s">
        <v>166</v>
      </c>
      <c r="D25" s="422"/>
      <c r="E25" s="422"/>
      <c r="F25" s="422"/>
    </row>
    <row r="26" spans="1:6" ht="14.5" thickBot="1">
      <c r="A26" s="20"/>
      <c r="B26" s="20"/>
      <c r="C26" s="210" t="s">
        <v>167</v>
      </c>
      <c r="D26" s="211"/>
      <c r="E26" s="212"/>
      <c r="F26" s="212"/>
    </row>
    <row r="27" spans="1:6" ht="15" thickTop="1" thickBot="1">
      <c r="A27" s="20"/>
      <c r="B27" s="20"/>
      <c r="C27" s="213" t="s">
        <v>168</v>
      </c>
      <c r="D27" s="214" t="s">
        <v>169</v>
      </c>
      <c r="E27" s="400">
        <v>2024</v>
      </c>
      <c r="F27" s="401"/>
    </row>
    <row r="28" spans="1:6" ht="14.5" thickBot="1">
      <c r="A28" s="20"/>
      <c r="B28" s="20"/>
      <c r="C28" s="20"/>
      <c r="D28" s="214" t="s">
        <v>170</v>
      </c>
      <c r="E28" s="215">
        <f>'3. GGbudget'!F30</f>
        <v>-0.4716264289664483</v>
      </c>
      <c r="F28" s="216">
        <f>'3. GGbudget'!H30</f>
        <v>-1.0856433081993331</v>
      </c>
    </row>
    <row r="29" spans="1:6" ht="14.5" thickBot="1">
      <c r="A29" s="20"/>
      <c r="B29" s="20"/>
      <c r="C29" s="20"/>
      <c r="D29" s="214" t="s">
        <v>171</v>
      </c>
      <c r="E29" s="215">
        <f>'3. GGbudget'!E30</f>
        <v>0.22649416719686172</v>
      </c>
      <c r="F29" s="216">
        <f>'3. GGbudget'!G30</f>
        <v>-0.54705426809729696</v>
      </c>
    </row>
    <row r="30" spans="1:6" ht="14.5" thickBot="1">
      <c r="A30" s="20"/>
      <c r="B30" s="20"/>
      <c r="C30" s="20"/>
      <c r="D30" s="214" t="s">
        <v>172</v>
      </c>
      <c r="E30" s="402">
        <f>'3. GGbudget'!F33</f>
        <v>-1</v>
      </c>
      <c r="F30" s="403"/>
    </row>
    <row r="31" spans="1:6" ht="14.5" thickBot="1">
      <c r="A31" s="20"/>
      <c r="B31" s="20"/>
      <c r="C31" s="20"/>
      <c r="D31" s="214" t="s">
        <v>173</v>
      </c>
      <c r="E31" s="215">
        <f>'2. Macro'!L20</f>
        <v>-2.0509821231029957</v>
      </c>
      <c r="F31" s="216">
        <f>'2. Macro'!L19</f>
        <v>-0.51209270146669317</v>
      </c>
    </row>
    <row r="32" spans="1:6" ht="14.5" thickBot="1">
      <c r="A32" s="20"/>
      <c r="B32" s="20"/>
      <c r="C32" s="20"/>
      <c r="D32" s="214" t="s">
        <v>174</v>
      </c>
      <c r="E32" s="406">
        <f>'3. GGbudget'!F34</f>
        <v>0</v>
      </c>
      <c r="F32" s="407"/>
    </row>
    <row r="33" spans="1:9" ht="15.5" thickTop="1" thickBot="1">
      <c r="A33" s="20"/>
      <c r="B33" s="20"/>
      <c r="C33" s="20"/>
      <c r="D33" s="214" t="s">
        <v>43</v>
      </c>
      <c r="E33" s="20"/>
      <c r="F33" s="20"/>
      <c r="G33" s="44" t="s">
        <v>44</v>
      </c>
    </row>
    <row r="34" spans="1:9" ht="15.5" thickTop="1" thickBot="1">
      <c r="A34" s="20"/>
      <c r="B34" s="20"/>
      <c r="C34" s="214"/>
      <c r="D34" s="214" t="s">
        <v>45</v>
      </c>
      <c r="E34" s="359" t="s">
        <v>23</v>
      </c>
      <c r="F34" s="360"/>
      <c r="G34" s="44" t="s">
        <v>46</v>
      </c>
    </row>
    <row r="35" spans="1:9" ht="15" thickBot="1">
      <c r="A35" s="20"/>
      <c r="B35" s="20"/>
      <c r="C35" s="214"/>
      <c r="D35" s="214" t="s">
        <v>47</v>
      </c>
      <c r="E35" s="361" t="s">
        <v>24</v>
      </c>
      <c r="F35" s="362"/>
      <c r="G35" s="38" t="s">
        <v>48</v>
      </c>
    </row>
    <row r="36" spans="1:9" s="8" customFormat="1" ht="15" thickTop="1">
      <c r="C36" s="28" t="s">
        <v>175</v>
      </c>
      <c r="D36" s="29" t="s">
        <v>176</v>
      </c>
      <c r="E36" s="39">
        <f>J13*1</f>
        <v>0</v>
      </c>
      <c r="F36" s="30"/>
    </row>
    <row r="37" spans="1:9" s="8" customFormat="1" ht="14.5">
      <c r="C37" s="28" t="s">
        <v>177</v>
      </c>
      <c r="D37" s="29" t="s">
        <v>178</v>
      </c>
      <c r="E37" s="39">
        <f>J15*1</f>
        <v>0</v>
      </c>
      <c r="F37" s="30"/>
    </row>
    <row r="38" spans="1:9" s="8" customFormat="1" ht="14.5">
      <c r="C38" s="28" t="s">
        <v>179</v>
      </c>
      <c r="D38" s="29" t="s">
        <v>180</v>
      </c>
      <c r="E38" s="39">
        <f>J17*1</f>
        <v>0</v>
      </c>
      <c r="F38" s="30"/>
      <c r="G38" s="31"/>
    </row>
    <row r="39" spans="1:9" s="8" customFormat="1" ht="14.5">
      <c r="C39" s="28" t="s">
        <v>181</v>
      </c>
      <c r="D39" s="29" t="s">
        <v>182</v>
      </c>
      <c r="E39" s="39">
        <f>J19*1</f>
        <v>0</v>
      </c>
      <c r="F39" s="30"/>
      <c r="G39" s="31"/>
    </row>
    <row r="40" spans="1:9" s="8" customFormat="1" ht="14.5">
      <c r="E40" s="39">
        <f>SUM(E36:E39)</f>
        <v>0</v>
      </c>
      <c r="F40" s="30"/>
    </row>
    <row r="41" spans="1:9" ht="14.5">
      <c r="C41" s="10"/>
      <c r="D41" s="10"/>
      <c r="E41" s="40"/>
      <c r="F41" s="10"/>
      <c r="G41" s="8"/>
      <c r="H41" s="8"/>
      <c r="I41" s="8"/>
    </row>
    <row r="42" spans="1:9">
      <c r="C42" s="10"/>
      <c r="D42" s="10"/>
      <c r="E42" s="10"/>
      <c r="F42" s="10"/>
      <c r="G42" s="8"/>
      <c r="H42" s="8"/>
      <c r="I42" s="8"/>
    </row>
    <row r="43" spans="1:9">
      <c r="C43" s="12"/>
      <c r="D43" s="10"/>
      <c r="E43" s="10"/>
      <c r="F43" s="10"/>
    </row>
    <row r="44" spans="1:9">
      <c r="C44" s="12"/>
      <c r="D44" s="10"/>
      <c r="E44" s="10"/>
      <c r="F44" s="10"/>
    </row>
    <row r="45" spans="1:9">
      <c r="C45" s="12"/>
      <c r="D45" s="12"/>
      <c r="E45" s="12"/>
      <c r="F45" s="12"/>
    </row>
  </sheetData>
  <mergeCells count="31">
    <mergeCell ref="B20:B23"/>
    <mergeCell ref="C17:C18"/>
    <mergeCell ref="D17:D19"/>
    <mergeCell ref="B17:B19"/>
    <mergeCell ref="C14:C15"/>
    <mergeCell ref="D14:D16"/>
    <mergeCell ref="B14:B16"/>
    <mergeCell ref="C22:C23"/>
    <mergeCell ref="B11:B13"/>
    <mergeCell ref="B1:C1"/>
    <mergeCell ref="B3:F3"/>
    <mergeCell ref="E4:F4"/>
    <mergeCell ref="C8:C9"/>
    <mergeCell ref="D8:D10"/>
    <mergeCell ref="B8:B10"/>
    <mergeCell ref="B5:D5"/>
    <mergeCell ref="B6:B7"/>
    <mergeCell ref="E35:F35"/>
    <mergeCell ref="C24:F24"/>
    <mergeCell ref="E27:F27"/>
    <mergeCell ref="E30:F30"/>
    <mergeCell ref="E6:F6"/>
    <mergeCell ref="E32:F32"/>
    <mergeCell ref="E34:F34"/>
    <mergeCell ref="C20:C21"/>
    <mergeCell ref="D20:D23"/>
    <mergeCell ref="C11:C12"/>
    <mergeCell ref="D11:D13"/>
    <mergeCell ref="E7:F7"/>
    <mergeCell ref="D6:D7"/>
    <mergeCell ref="C25:F25"/>
  </mergeCells>
  <hyperlinks>
    <hyperlink ref="B1" location="Content!A1" display="↖ atgal į turinį" xr:uid="{BE79719A-0CEF-43F6-8533-8159F8E4F378}"/>
    <hyperlink ref="B1:C1" location="Content!A1" display="↖ atgal į turinį " xr:uid="{2E7372A4-D025-4044-906F-E47FE9BAC84E}"/>
  </hyperlink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5463EA-6BAA-42B9-8D41-2248E3036D0F}">
  <sheetPr codeName="Lapas6">
    <tabColor theme="7"/>
  </sheetPr>
  <dimension ref="A1:K70"/>
  <sheetViews>
    <sheetView showGridLines="0" showRowColHeaders="0" zoomScaleNormal="100" workbookViewId="0"/>
  </sheetViews>
  <sheetFormatPr defaultColWidth="10" defaultRowHeight="14"/>
  <cols>
    <col min="1" max="1" width="3.6328125" style="1" customWidth="1"/>
    <col min="2" max="2" width="5.54296875" style="36" customWidth="1"/>
    <col min="3" max="3" width="100.6328125" style="1" customWidth="1"/>
    <col min="4" max="4" width="14.54296875" style="1" customWidth="1"/>
    <col min="5" max="5" width="25.453125" style="1" customWidth="1"/>
    <col min="6" max="7" width="17" style="1" customWidth="1"/>
    <col min="8" max="8" width="12" style="1" customWidth="1"/>
    <col min="9" max="16384" width="10" style="1"/>
  </cols>
  <sheetData>
    <row r="1" spans="1:10">
      <c r="A1" s="2"/>
      <c r="B1" s="456" t="s">
        <v>19</v>
      </c>
      <c r="C1" s="456"/>
    </row>
    <row r="2" spans="1:10" ht="14.5" thickBot="1">
      <c r="A2" s="8" t="s">
        <v>20</v>
      </c>
    </row>
    <row r="3" spans="1:10" ht="39.75" customHeight="1" thickTop="1" thickBot="1">
      <c r="B3" s="427" t="s">
        <v>321</v>
      </c>
      <c r="C3" s="428"/>
      <c r="D3" s="428"/>
      <c r="E3" s="428"/>
      <c r="F3" s="428"/>
      <c r="G3" s="429"/>
    </row>
    <row r="4" spans="1:10" ht="30" customHeight="1" thickBot="1">
      <c r="B4" s="161" t="s">
        <v>183</v>
      </c>
      <c r="C4" s="223" t="s">
        <v>184</v>
      </c>
      <c r="D4" s="457" t="s">
        <v>147</v>
      </c>
      <c r="E4" s="458"/>
      <c r="F4" s="430" t="s">
        <v>148</v>
      </c>
      <c r="G4" s="431"/>
      <c r="H4" s="46"/>
    </row>
    <row r="5" spans="1:10" ht="33.75" customHeight="1" thickBot="1">
      <c r="B5" s="432" t="s">
        <v>149</v>
      </c>
      <c r="C5" s="433"/>
      <c r="D5" s="433"/>
      <c r="E5" s="433"/>
      <c r="F5" s="160" t="s">
        <v>23</v>
      </c>
      <c r="G5" s="116" t="s">
        <v>24</v>
      </c>
      <c r="H5" s="5"/>
      <c r="I5" s="5"/>
      <c r="J5" s="5"/>
    </row>
    <row r="6" spans="1:10" ht="15" customHeight="1">
      <c r="B6" s="434"/>
      <c r="C6" s="217" t="s">
        <v>150</v>
      </c>
      <c r="D6" s="420"/>
      <c r="E6" s="420"/>
      <c r="F6" s="404" t="str">
        <f>"Taip"</f>
        <v>Taip</v>
      </c>
      <c r="G6" s="405"/>
    </row>
    <row r="7" spans="1:10" ht="14.25" customHeight="1" thickBot="1">
      <c r="B7" s="435"/>
      <c r="C7" s="218" t="s">
        <v>29</v>
      </c>
      <c r="D7" s="421"/>
      <c r="E7" s="421"/>
      <c r="F7" s="418" t="str">
        <f>"Yes"</f>
        <v>Yes</v>
      </c>
      <c r="G7" s="419"/>
    </row>
    <row r="8" spans="1:10" ht="30" customHeight="1">
      <c r="B8" s="442" t="s">
        <v>269</v>
      </c>
      <c r="C8" s="413" t="s">
        <v>185</v>
      </c>
      <c r="D8" s="415"/>
      <c r="E8" s="415"/>
      <c r="F8" s="145" t="str">
        <f>IF(F51+eps&lt;AVERAGE('2. Macro'!G32:K32)+2,"Tiesa","Netiesa")</f>
        <v>Tiesa</v>
      </c>
      <c r="G8" s="126" t="str">
        <f>IF(F51+eps&lt;AVERAGE('2. Macro'!G32:K32)+2,"Tiesa","Netiesa")</f>
        <v>Tiesa</v>
      </c>
      <c r="H8" s="5"/>
      <c r="I8" s="5"/>
      <c r="J8" s="5"/>
    </row>
    <row r="9" spans="1:10" ht="19.5" customHeight="1">
      <c r="B9" s="443"/>
      <c r="C9" s="414"/>
      <c r="D9" s="416"/>
      <c r="E9" s="416"/>
      <c r="F9" s="148" t="str">
        <f>CONCATENATE(FIXED(F51,1),IF(F8="Tiesa"," &lt; "," ≥ "),FIXED(AVERAGE('2. Macro'!H32:L32)+2,1))</f>
        <v>5,6 &lt; 7,0</v>
      </c>
      <c r="G9" s="127" t="str">
        <f>CONCATENATE(FIXED(G51,1),IF(G8="Tiesa"," &lt; "," ≥ "),FIXED(AVERAGE('2. Macro'!H32:L32)+2,1))</f>
        <v>5,6 &lt; 7,0</v>
      </c>
      <c r="H9" s="5"/>
      <c r="I9" s="5"/>
      <c r="J9" s="5"/>
    </row>
    <row r="10" spans="1:10" ht="34.5" customHeight="1" thickBot="1">
      <c r="B10" s="444"/>
      <c r="C10" s="207" t="s">
        <v>186</v>
      </c>
      <c r="D10" s="417"/>
      <c r="E10" s="417"/>
      <c r="F10" s="154" t="str">
        <f>IF(F8="Tiesa","True","False")</f>
        <v>True</v>
      </c>
      <c r="G10" s="128" t="str">
        <f>IF(G8="Tiesa","True","False")</f>
        <v>True</v>
      </c>
      <c r="H10" s="5"/>
      <c r="I10" s="5"/>
      <c r="J10" s="5"/>
    </row>
    <row r="11" spans="1:10" ht="30" customHeight="1" thickBot="1">
      <c r="B11" s="459" t="s">
        <v>270</v>
      </c>
      <c r="C11" s="445" t="s">
        <v>187</v>
      </c>
      <c r="D11" s="462" t="s">
        <v>255</v>
      </c>
      <c r="E11" s="462"/>
      <c r="F11" s="145" t="str">
        <f>IF('3. GGbudget'!F8&gt;='3. GGbudget'!E8+1,"Tiesa","Netiesa")</f>
        <v>Netiesa</v>
      </c>
      <c r="G11" s="126" t="str">
        <f>IF('3. GGbudget'!H8&gt;='3. GGbudget'!G8+1,"Tiesa","Netiesa")</f>
        <v>Netiesa</v>
      </c>
    </row>
    <row r="12" spans="1:10" ht="15" customHeight="1" thickBot="1">
      <c r="B12" s="460"/>
      <c r="C12" s="446"/>
      <c r="D12" s="463"/>
      <c r="E12" s="463"/>
      <c r="F12" s="148" t="str">
        <f>CONCATENATE(FIXED('3. GGbudget'!F8-'3. GGbudget'!E8,1),IF(F11="Tiesa"," ≥ "," &lt; "),FIXED(1,1))</f>
        <v>-0,6 &lt; 1,0</v>
      </c>
      <c r="G12" s="127" t="str">
        <f>CONCATENATE(FIXED('3. GGbudget'!H8-'3. GGbudget'!G8,1),IF(G11="Tiesa"," ≥ "," &lt; "),FIXED(1,1))</f>
        <v>-0,6 &lt; 1,0</v>
      </c>
    </row>
    <row r="13" spans="1:10" ht="30" customHeight="1" thickBot="1">
      <c r="B13" s="461"/>
      <c r="C13" s="224" t="s">
        <v>188</v>
      </c>
      <c r="D13" s="464"/>
      <c r="E13" s="464"/>
      <c r="F13" s="154" t="str">
        <f>IF(F11="Tiesa","True","False")</f>
        <v>False</v>
      </c>
      <c r="G13" s="128" t="str">
        <f>IF(G11="Tiesa","True","False")</f>
        <v>False</v>
      </c>
    </row>
    <row r="14" spans="1:10" ht="27.75" customHeight="1" thickBot="1">
      <c r="B14" s="459" t="s">
        <v>271</v>
      </c>
      <c r="C14" s="445" t="s">
        <v>189</v>
      </c>
      <c r="D14" s="465"/>
      <c r="E14" s="465"/>
      <c r="F14" s="150" t="str">
        <f>IF(ROUND(AVERAGE('2. Macro'!G36:K36),1)&gt;=0.1,"Tiesa","Netiesa")</f>
        <v>Netiesa</v>
      </c>
      <c r="G14" s="129" t="str">
        <f>IF(ROUND(AVERAGE('2. Macro'!G35:K35),1)&gt;=0.1,"Tiesa","Netiesa")</f>
        <v>Netiesa</v>
      </c>
    </row>
    <row r="15" spans="1:10" ht="15" customHeight="1" thickBot="1">
      <c r="B15" s="460"/>
      <c r="C15" s="446"/>
      <c r="D15" s="466"/>
      <c r="E15" s="466"/>
      <c r="F15" s="155" t="str">
        <f>CONCATENATE(FIXED(AVERAGE('2. Macro'!H36:L36),1),IF(F14="Tiesa"," ≥ "," &lt; "),FIXED(0.1,1))</f>
        <v>-2,1 &lt; 0,1</v>
      </c>
      <c r="G15" s="130" t="str">
        <f>CONCATENATE(FIXED(AVERAGE('2. Macro'!H35:L35),1),IF(G14="Tiesa"," ≥ "," &lt; "),FIXED(0.1,1))</f>
        <v>-2,1 &lt; 0,1</v>
      </c>
    </row>
    <row r="16" spans="1:10" ht="29.5" thickBot="1">
      <c r="B16" s="461"/>
      <c r="C16" s="224" t="s">
        <v>190</v>
      </c>
      <c r="D16" s="467"/>
      <c r="E16" s="467"/>
      <c r="F16" s="156" t="str">
        <f>IF(F14="Tiesa","True","False")</f>
        <v>False</v>
      </c>
      <c r="G16" s="131" t="str">
        <f>IF(G14="Tiesa","True","False")</f>
        <v>False</v>
      </c>
    </row>
    <row r="17" spans="2:8" ht="51.75" customHeight="1">
      <c r="B17" s="442" t="s">
        <v>272</v>
      </c>
      <c r="C17" s="445" t="s">
        <v>191</v>
      </c>
      <c r="D17" s="415" t="s">
        <v>252</v>
      </c>
      <c r="E17" s="415"/>
      <c r="F17" s="145" t="str">
        <f>IF(F57="", "Netaikoma",IF(ROUND(F58,1)&gt;=F57,"Tiesa","Netiesa"))</f>
        <v>Netaikoma</v>
      </c>
      <c r="G17" s="126" t="str">
        <f>IF(F57="", "Netaikoma",IF(ROUND(G58,1)&gt;=G57,"Tiesa","Netiesa"))</f>
        <v>Netaikoma</v>
      </c>
    </row>
    <row r="18" spans="2:8" ht="18.75" customHeight="1">
      <c r="B18" s="443"/>
      <c r="C18" s="446"/>
      <c r="D18" s="416"/>
      <c r="E18" s="416"/>
      <c r="F18" s="155" t="str">
        <f>IF(F17="Netaikoma","",CONCATENATE(FIXED(F58,1),IF(F14="Tiesa"," ≥ "," &lt; "),FIXED(F57,1)))</f>
        <v/>
      </c>
      <c r="G18" s="127" t="str">
        <f>IF(F17="Netaikoma","",CONCATENATE(FIXED(G58,1),IF(G14="Tiesa"," ≥ "," &lt; "),FIXED(G57,1)))</f>
        <v/>
      </c>
    </row>
    <row r="19" spans="2:8" ht="51.75" customHeight="1" thickBot="1">
      <c r="B19" s="444"/>
      <c r="C19" s="207" t="s">
        <v>192</v>
      </c>
      <c r="D19" s="417"/>
      <c r="E19" s="417"/>
      <c r="F19" s="154" t="str">
        <f>IF(F17="Netaikoma","Not applicable",IF(F17="Tiesa","True","False"))</f>
        <v>Not applicable</v>
      </c>
      <c r="G19" s="128" t="str">
        <f>IF(F17="Netaikoma","Not applicable",IF(G17="Tiesa","True","False"))</f>
        <v>Not applicable</v>
      </c>
    </row>
    <row r="20" spans="2:8" ht="44.25" customHeight="1">
      <c r="B20" s="442" t="s">
        <v>273</v>
      </c>
      <c r="C20" s="445" t="s">
        <v>193</v>
      </c>
      <c r="D20" s="415" t="s">
        <v>194</v>
      </c>
      <c r="E20" s="415"/>
      <c r="F20" s="145" t="str">
        <f>IF(F52+eps&lt;0,"Tiesa","Netiesa")</f>
        <v>Tiesa</v>
      </c>
      <c r="G20" s="126" t="str">
        <f>IF(G52+eps&lt;0,"Tiesa","Netiesa")</f>
        <v>Tiesa</v>
      </c>
    </row>
    <row r="21" spans="2:8" ht="20.25" customHeight="1">
      <c r="B21" s="443"/>
      <c r="C21" s="446"/>
      <c r="D21" s="416"/>
      <c r="E21" s="416"/>
      <c r="F21" s="155" t="str">
        <f>CONCATENATE(FIXED(F52,1),IF(F20="Tiesa"," &lt; "," ≥ "),FIXED(0,1))</f>
        <v>-2,1 &lt; 0,0</v>
      </c>
      <c r="G21" s="127" t="str">
        <f>CONCATENATE(FIXED(G52,1),IF(G20="Tiesa"," &lt; "," ≥ "),FIXED(0,1))</f>
        <v>-0,5 &lt; 0,0</v>
      </c>
    </row>
    <row r="22" spans="2:8" ht="48" customHeight="1" thickBot="1">
      <c r="B22" s="444"/>
      <c r="C22" s="207" t="s">
        <v>195</v>
      </c>
      <c r="D22" s="417"/>
      <c r="E22" s="417"/>
      <c r="F22" s="154" t="str">
        <f>IF(F20="Tiesa","True","False")</f>
        <v>True</v>
      </c>
      <c r="G22" s="128" t="str">
        <f>IF(G20="Tiesa","True","False")</f>
        <v>True</v>
      </c>
    </row>
    <row r="23" spans="2:8" ht="21.75" customHeight="1">
      <c r="B23" s="423" t="s">
        <v>196</v>
      </c>
      <c r="C23" s="408" t="s">
        <v>262</v>
      </c>
      <c r="D23" s="420"/>
      <c r="E23" s="420"/>
      <c r="F23" s="157" t="str">
        <f>+IF((OR(F8="Tiesa",F11="Tiesa",F14="Tiesa",F20="Tiesa")),"Taip","Ne")</f>
        <v>Taip</v>
      </c>
      <c r="G23" s="122" t="str">
        <f>+IF((OR(G8="Tiesa",G11="Tiesa",G14="Tiesa",G20="Tiesa")),"Taip","Ne")</f>
        <v>Taip</v>
      </c>
      <c r="H23" s="32"/>
    </row>
    <row r="24" spans="2:8" ht="45.75" customHeight="1">
      <c r="B24" s="424"/>
      <c r="C24" s="409"/>
      <c r="D24" s="452"/>
      <c r="E24" s="452"/>
      <c r="F24" s="158" t="str">
        <f>IF(F23="Taip",CONCATENATE("Susidaro ", IF(F64=1,CONCATENATE(H64," "),""),IF(F65=1,CONCATENATE(H65," "),""),IF(F66=1,CONCATENATE(H66," "),""),IF(F67=1,CONCATENATE(H67," "),""),IF(F68=1,CONCATENATE(H68," "),""),IF(F69=1,"aplinkybė","aplinkybės")),"Išimčių nėra")</f>
        <v>Susidaro A1 A5 aplinkybės</v>
      </c>
      <c r="G24" s="123" t="str">
        <f>IF(G23="Taip",CONCATENATE("Susidaro ", IF(G64=1,CONCATENATE(I64," "),""),IF(G65=1,CONCATENATE(I65," "),""),IF(G66=1,CONCATENATE(I66," "),""),IF(G67=1,CONCATENATE(I67," "),""),IF(G68=1,CONCATENATE(I68," "),""),IF(G69=1,"aplinkybė","aplinkybės")),"Išimčių nėra")</f>
        <v>Susidaro A1 A5 aplinkybės</v>
      </c>
    </row>
    <row r="25" spans="2:8" ht="18" customHeight="1">
      <c r="B25" s="424"/>
      <c r="C25" s="440" t="s">
        <v>197</v>
      </c>
      <c r="D25" s="452"/>
      <c r="E25" s="452"/>
      <c r="F25" s="159" t="str">
        <f>IF(F23="Taip","Yes","No")</f>
        <v>Yes</v>
      </c>
      <c r="G25" s="132" t="str">
        <f>IF(G23="Taip","Yes","No")</f>
        <v>Yes</v>
      </c>
    </row>
    <row r="26" spans="2:8" ht="55.5" customHeight="1" thickBot="1">
      <c r="B26" s="425"/>
      <c r="C26" s="453"/>
      <c r="D26" s="421"/>
      <c r="E26" s="421"/>
      <c r="F26" s="147" t="str">
        <f>IF(F25="Yes",CONCATENATE(IF(F69=1,"Escape clause ","Escape clauses "), IF(F64=1,CONCATENATE(H64," "),""),IF(F65=1,CONCATENATE(H65," "),""),IF(F66=1,CONCATENATE(H66," "),""),IF(F67=1,CONCATENATE(H67," "),""),IF(F68=1,CONCATENATE(H68," "),""),"emerge"),"No escape clauses emerge")</f>
        <v>Escape clauses A1 A5 emerge</v>
      </c>
      <c r="G26" s="133" t="str">
        <f>IF(G25="Yes",CONCATENATE(IF(G69=1,"Escape clause ","Escape clauses "), IF(G64=1,CONCATENATE(I64," "),""),IF(G65=1,CONCATENATE(I65," "),""),IF(G66=1,CONCATENATE(I66," "),""),IF(G67=1,CONCATENATE(I67," "),""),IF(G68=1,CONCATENATE(I68," "),""),"emerge"),"No escape clauses emerge")</f>
        <v>Escape clauses A1 A5 emerge</v>
      </c>
    </row>
    <row r="27" spans="2:8" ht="33.75" customHeight="1" thickBot="1">
      <c r="B27" s="162" t="s">
        <v>258</v>
      </c>
      <c r="C27" s="163" t="s">
        <v>259</v>
      </c>
      <c r="D27" s="449" t="s">
        <v>260</v>
      </c>
      <c r="E27" s="450"/>
      <c r="F27" s="447" t="s">
        <v>261</v>
      </c>
      <c r="G27" s="448"/>
      <c r="H27" s="33"/>
    </row>
    <row r="28" spans="2:8" ht="32.25" customHeight="1">
      <c r="B28" s="423" t="s">
        <v>274</v>
      </c>
      <c r="C28" s="451" t="s">
        <v>198</v>
      </c>
      <c r="D28" s="225"/>
      <c r="E28" s="226"/>
      <c r="F28" s="151" t="str">
        <f>IF((F23="Taip"),"",IF(AVERAGE('2. Macro'!G36:K36)+eps&lt;0,"Tiesa","Netiesa"))</f>
        <v/>
      </c>
      <c r="G28" s="134" t="str">
        <f>IF((G23="Taip"),"",IF(AVERAGE('2. Macro'!G35:K35)+eps&lt;0,"Tiesa","Netiesa"))</f>
        <v/>
      </c>
    </row>
    <row r="29" spans="2:8" ht="15.75" customHeight="1">
      <c r="B29" s="424"/>
      <c r="C29" s="451"/>
      <c r="D29" s="87" t="s">
        <v>199</v>
      </c>
      <c r="E29" s="227"/>
      <c r="F29" s="106" t="str">
        <f>IF((F23="Taip"),"",CONCATENATE(FIXED(AVERAGE('2. Macro'!G36:K36),1),IF(F28="Tiesa"," &lt; "," ≥ "),FIXED(0,1)))</f>
        <v/>
      </c>
      <c r="G29" s="135" t="str">
        <f>IF((G23="Taip"),"",CONCATENATE(FIXED(AVERAGE('2. Macro'!G35:K35),1),IF(G28="Tiesa"," &lt; "," ≥ "),FIXED(0,1)))</f>
        <v/>
      </c>
    </row>
    <row r="30" spans="2:8" ht="18" customHeight="1" thickBot="1">
      <c r="B30" s="424"/>
      <c r="C30" s="451"/>
      <c r="D30" s="87"/>
      <c r="E30" s="227"/>
      <c r="F30" s="152" t="str">
        <f>IF(F25="Yes","",IF(F28="Tiesa","True","False"))</f>
        <v/>
      </c>
      <c r="G30" s="136" t="str">
        <f>IF(G25="Yes","",IF(G28="Tiesa","True","False"))</f>
        <v/>
      </c>
    </row>
    <row r="31" spans="2:8" ht="24" customHeight="1">
      <c r="B31" s="424"/>
      <c r="C31" s="451"/>
      <c r="D31" s="225"/>
      <c r="E31" s="226"/>
      <c r="F31" s="151" t="str">
        <f>IF(OR(F23="Taip",F28="Netiesa",F6="Taip"),"Netaikoma", IF(F53&lt;=(F54)*(0.5*F56),"Tenkinama","Netenkinama"))</f>
        <v>Netaikoma</v>
      </c>
      <c r="G31" s="134" t="str">
        <f>IF(OR(G23="Taip",G28="Netiesa",F6="Taip"),"Netaikoma", IF(G53&lt;=(G54)*(0.5*G56),"Tenkinama","Netenkinama"))</f>
        <v>Netaikoma</v>
      </c>
    </row>
    <row r="32" spans="2:8" ht="69" customHeight="1">
      <c r="B32" s="424"/>
      <c r="C32" s="451"/>
      <c r="D32" s="87"/>
      <c r="E32" s="227"/>
      <c r="F32" s="106" t="str">
        <f>IF(F6="Taip", "Paskelbtos išskirtinės aplinkybės",IF(F23="Taip",IF(F69=1,"Susidarė viena iš KĮ numatytų netaikymo aplinkybių","Susidarė KĮ numatytos netaikymo aplinkybės"),CONCATENATE(ROUND(($G$39-F41)/($G$40-F42),3),IF(F31="Tiesa"," ≤ "," &gt; "), ROUND(0.5*F56,3))))</f>
        <v>Paskelbtos išskirtinės aplinkybės</v>
      </c>
      <c r="G32" s="137" t="str">
        <f>IF(F6="Taip", "Paskelbtos išskirtinės aplinkybės",IF(G23="Taip",IF(G69=1,"Susidarė viena iš KĮ numatytų netaikymo aplinkybių","Susidarė KĮ numatytos netaikymo aplinkybės"),CONCATENATE(ROUND(G55,3),IF(G31="Tenkinama"," ≤ "," &gt; "), ROUND(0.5*G56,3))))</f>
        <v>Paskelbtos išskirtinės aplinkybės</v>
      </c>
    </row>
    <row r="33" spans="2:11" ht="21" customHeight="1">
      <c r="B33" s="424"/>
      <c r="C33" s="454" t="s">
        <v>200</v>
      </c>
      <c r="D33" s="87"/>
      <c r="E33" s="227"/>
      <c r="F33" s="153" t="str">
        <f>IF(F31="Netaikoma","Not applied",IF(F31="Tiesa","True","False"))</f>
        <v>Not applied</v>
      </c>
      <c r="G33" s="138" t="str">
        <f>IF(G31="Netaikoma","Not applied",IF(G31="Tenkinama","True","False"))</f>
        <v>Not applied</v>
      </c>
    </row>
    <row r="34" spans="2:11" ht="70.5" customHeight="1" thickBot="1">
      <c r="B34" s="436"/>
      <c r="C34" s="455"/>
      <c r="D34" s="228"/>
      <c r="E34" s="229"/>
      <c r="F34" s="230" t="str">
        <f>IF(F7="Yes","Exceptional Circumstances",IF(F25="Yes",IF(F69=1,"CL escape clause emerged","CL escape clauses emerged"),""))</f>
        <v>Exceptional Circumstances</v>
      </c>
      <c r="G34" s="231" t="str">
        <f>IF(F7="Yes","Exceptional Circumstances",IF(G25="Yes",IF(G69=1,"CL escape clause emerged","CL escape clauses emerged"),""))</f>
        <v>Exceptional Circumstances</v>
      </c>
    </row>
    <row r="35" spans="2:11" ht="28.5" customHeight="1" thickTop="1">
      <c r="B35" s="56"/>
      <c r="C35" s="399" t="s">
        <v>201</v>
      </c>
      <c r="D35" s="399"/>
      <c r="E35" s="399"/>
      <c r="F35" s="232"/>
      <c r="G35" s="232"/>
    </row>
    <row r="36" spans="2:11" ht="28.5" customHeight="1">
      <c r="B36" s="56"/>
      <c r="C36" s="422" t="s">
        <v>251</v>
      </c>
      <c r="D36" s="422"/>
      <c r="E36" s="422"/>
      <c r="F36" s="232"/>
      <c r="G36" s="232"/>
    </row>
    <row r="37" spans="2:11" ht="18.75" customHeight="1" thickBot="1">
      <c r="B37" s="56"/>
      <c r="C37" s="210" t="s">
        <v>202</v>
      </c>
      <c r="D37" s="233"/>
      <c r="E37" s="233"/>
      <c r="F37" s="232"/>
      <c r="G37" s="232"/>
    </row>
    <row r="38" spans="2:11" ht="15" customHeight="1" thickTop="1" thickBot="1">
      <c r="B38" s="56"/>
      <c r="C38" s="213" t="s">
        <v>203</v>
      </c>
      <c r="D38" s="232"/>
      <c r="E38" s="20"/>
      <c r="F38" s="473">
        <v>2024</v>
      </c>
      <c r="G38" s="474"/>
    </row>
    <row r="39" spans="2:11" ht="15" thickBot="1">
      <c r="B39" s="56"/>
      <c r="C39" s="234"/>
      <c r="D39" s="232"/>
      <c r="E39" s="214" t="s">
        <v>204</v>
      </c>
      <c r="F39" s="291">
        <f>'3. GGbudget'!F21</f>
        <v>28081.713</v>
      </c>
      <c r="G39" s="292">
        <f>'3. GGbudget'!H21</f>
        <v>28081.713</v>
      </c>
      <c r="H39" s="55"/>
    </row>
    <row r="40" spans="2:11" ht="15" customHeight="1" thickBot="1">
      <c r="B40" s="56"/>
      <c r="C40" s="232"/>
      <c r="D40" s="232"/>
      <c r="E40" s="214" t="s">
        <v>205</v>
      </c>
      <c r="F40" s="291">
        <f>'3. GGbudget'!E21</f>
        <v>25758.959999999999</v>
      </c>
      <c r="G40" s="292">
        <f>'3. GGbudget'!G21</f>
        <v>25758.959999999999</v>
      </c>
      <c r="H40" s="55"/>
    </row>
    <row r="41" spans="2:11" ht="14.5" thickBot="1">
      <c r="B41" s="56"/>
      <c r="C41" s="232"/>
      <c r="D41" s="232"/>
      <c r="E41" s="214" t="s">
        <v>206</v>
      </c>
      <c r="F41" s="479">
        <v>2388.8000000000002</v>
      </c>
      <c r="G41" s="480"/>
      <c r="H41" s="37"/>
    </row>
    <row r="42" spans="2:11" ht="14.5" thickBot="1">
      <c r="B42" s="56"/>
      <c r="C42" s="232"/>
      <c r="D42" s="232"/>
      <c r="E42" s="214" t="s">
        <v>207</v>
      </c>
      <c r="F42" s="479">
        <v>2412.9</v>
      </c>
      <c r="G42" s="480"/>
      <c r="H42" s="37"/>
    </row>
    <row r="43" spans="2:11" ht="14.5" thickBot="1">
      <c r="B43" s="56"/>
      <c r="C43" s="211"/>
      <c r="D43" s="235"/>
      <c r="E43" s="214" t="s">
        <v>208</v>
      </c>
      <c r="F43" s="293">
        <f>'3. GGbudget'!F15</f>
        <v>30990.1</v>
      </c>
      <c r="G43" s="292">
        <f>'3. GGbudget'!H15</f>
        <v>30990.1</v>
      </c>
      <c r="H43" s="37"/>
    </row>
    <row r="44" spans="2:11" ht="14.5" thickBot="1">
      <c r="B44" s="56"/>
      <c r="C44" s="211"/>
      <c r="D44" s="235"/>
      <c r="E44" s="214" t="s">
        <v>209</v>
      </c>
      <c r="F44" s="293">
        <f>'3. GGbudget'!E15</f>
        <v>27581.1</v>
      </c>
      <c r="G44" s="292">
        <f>'3. GGbudget'!G15</f>
        <v>27581.1</v>
      </c>
      <c r="H44" s="37"/>
    </row>
    <row r="45" spans="2:11" ht="14.5" thickBot="1">
      <c r="B45" s="56"/>
      <c r="C45" s="211"/>
      <c r="D45" s="235"/>
      <c r="E45" s="214" t="s">
        <v>210</v>
      </c>
      <c r="F45" s="291">
        <f>'2. Macro'!K36-'2. Macro'!J36</f>
        <v>2.7117894707671231E-2</v>
      </c>
      <c r="G45" s="174">
        <f>'2. Macro'!K35-'2. Macro'!J35</f>
        <v>2.7117894707671231E-2</v>
      </c>
    </row>
    <row r="46" spans="2:11" ht="14.5" thickBot="1">
      <c r="B46" s="56"/>
      <c r="C46" s="236"/>
      <c r="D46" s="235"/>
      <c r="E46" s="214" t="s">
        <v>211</v>
      </c>
      <c r="F46" s="291">
        <f>('2. Macro'!K36-'2. Macro'!J36)-('2. Macro'!J36-'2. Macro'!I36)</f>
        <v>-0.41139162409379915</v>
      </c>
      <c r="G46" s="174">
        <f>('2. Macro'!K35-'2. Macro'!J35)-('2. Macro'!J35-'2. Macro'!I35)</f>
        <v>-0.41139162409379915</v>
      </c>
    </row>
    <row r="47" spans="2:11" ht="15" customHeight="1" thickBot="1">
      <c r="B47" s="56"/>
      <c r="C47" s="237" t="s">
        <v>328</v>
      </c>
      <c r="D47" s="235"/>
      <c r="E47" s="237" t="s">
        <v>212</v>
      </c>
      <c r="F47" s="475">
        <v>1.028</v>
      </c>
      <c r="G47" s="476"/>
      <c r="I47" s="481" t="s">
        <v>315</v>
      </c>
      <c r="J47" s="481"/>
      <c r="K47" s="481"/>
    </row>
    <row r="48" spans="2:11" ht="15" customHeight="1" thickBot="1">
      <c r="B48" s="56"/>
      <c r="C48" s="237" t="s">
        <v>329</v>
      </c>
      <c r="D48" s="235"/>
      <c r="E48" s="237" t="s">
        <v>213</v>
      </c>
      <c r="F48" s="475">
        <v>1.0309999999999999</v>
      </c>
      <c r="G48" s="476"/>
      <c r="I48" s="481" t="s">
        <v>316</v>
      </c>
      <c r="J48" s="481"/>
      <c r="K48" s="481"/>
    </row>
    <row r="49" spans="2:11" ht="15" customHeight="1" thickBot="1">
      <c r="B49" s="56"/>
      <c r="C49" s="237" t="s">
        <v>330</v>
      </c>
      <c r="D49" s="235"/>
      <c r="E49" s="237" t="s">
        <v>214</v>
      </c>
      <c r="F49" s="477">
        <v>1.036</v>
      </c>
      <c r="G49" s="478"/>
      <c r="I49" s="481" t="s">
        <v>318</v>
      </c>
      <c r="J49" s="481"/>
      <c r="K49" s="481"/>
    </row>
    <row r="50" spans="2:11" ht="15" customHeight="1" thickBot="1">
      <c r="B50" s="56"/>
      <c r="C50" s="237" t="s">
        <v>317</v>
      </c>
      <c r="D50" s="235"/>
      <c r="E50" s="237" t="s">
        <v>215</v>
      </c>
      <c r="F50" s="477">
        <v>1.022</v>
      </c>
      <c r="G50" s="478"/>
      <c r="I50" s="481" t="s">
        <v>312</v>
      </c>
      <c r="J50" s="481"/>
      <c r="K50" s="481"/>
    </row>
    <row r="51" spans="2:11" ht="15" customHeight="1" thickBot="1">
      <c r="B51" s="56"/>
      <c r="C51" s="238" t="s">
        <v>331</v>
      </c>
      <c r="D51" s="235"/>
      <c r="E51" s="237" t="s">
        <v>216</v>
      </c>
      <c r="F51" s="291">
        <v>5.62</v>
      </c>
      <c r="G51" s="174">
        <v>5.62</v>
      </c>
      <c r="H51" s="53"/>
      <c r="I51" s="481" t="s">
        <v>319</v>
      </c>
      <c r="J51" s="481"/>
      <c r="K51" s="481"/>
    </row>
    <row r="52" spans="2:11" ht="15" customHeight="1" thickBot="1">
      <c r="B52" s="56"/>
      <c r="C52" s="20"/>
      <c r="D52" s="235"/>
      <c r="E52" s="214" t="s">
        <v>217</v>
      </c>
      <c r="F52" s="291">
        <f>'2. Macro'!L20</f>
        <v>-2.0509821231029957</v>
      </c>
      <c r="G52" s="174">
        <f>'2. Macro'!L19</f>
        <v>-0.51209270146669317</v>
      </c>
    </row>
    <row r="53" spans="2:11" ht="15" customHeight="1" thickBot="1">
      <c r="B53" s="56"/>
      <c r="C53" s="20"/>
      <c r="D53" s="214"/>
      <c r="E53" s="214" t="s">
        <v>218</v>
      </c>
      <c r="F53" s="294">
        <f>F39-F41</f>
        <v>25692.913</v>
      </c>
      <c r="G53" s="295">
        <f>+G39-F41</f>
        <v>25692.913</v>
      </c>
      <c r="H53" s="55"/>
      <c r="I53" s="53"/>
    </row>
    <row r="54" spans="2:11" ht="15" customHeight="1" thickBot="1">
      <c r="B54" s="56"/>
      <c r="C54" s="20"/>
      <c r="D54" s="214"/>
      <c r="E54" s="214" t="s">
        <v>219</v>
      </c>
      <c r="F54" s="294">
        <f>F40-F42</f>
        <v>23346.059999999998</v>
      </c>
      <c r="G54" s="295">
        <f>+G40-$F$42</f>
        <v>23346.059999999998</v>
      </c>
      <c r="H54" s="37"/>
      <c r="I54" s="53"/>
    </row>
    <row r="55" spans="2:11" ht="15" customHeight="1" thickBot="1">
      <c r="B55" s="56"/>
      <c r="C55" s="20"/>
      <c r="D55" s="214"/>
      <c r="E55" s="214" t="s">
        <v>220</v>
      </c>
      <c r="F55" s="294">
        <f>+(F53/F54-1)*100</f>
        <v>10.052458530475828</v>
      </c>
      <c r="G55" s="295">
        <f>+(G53/G54-1)*100</f>
        <v>10.052458530475828</v>
      </c>
      <c r="H55" s="37"/>
      <c r="I55" s="45"/>
    </row>
    <row r="56" spans="2:11" s="8" customFormat="1" ht="16.5" thickBot="1">
      <c r="B56" s="56"/>
      <c r="C56" s="20"/>
      <c r="D56" s="214"/>
      <c r="E56" s="214" t="s">
        <v>221</v>
      </c>
      <c r="F56" s="296">
        <f>(POWER('2. Macro'!O16/'2. Macro'!E16,0.1)*POWER(PRODUCT(F47:F50),0.25)-1)*100</f>
        <v>6.3637817156950716</v>
      </c>
      <c r="G56" s="297">
        <f>(POWER('2. Macro'!O15/'2. Macro'!E15,0.1)*POWER(PRODUCT(F47:F50),0.25)-1)*100</f>
        <v>6.263971188569184</v>
      </c>
      <c r="H56" s="37"/>
      <c r="I56" s="53"/>
    </row>
    <row r="57" spans="2:11" s="8" customFormat="1" ht="14.5" hidden="1" thickBot="1">
      <c r="B57" s="56"/>
      <c r="C57" s="20"/>
      <c r="D57" s="214"/>
      <c r="E57" s="214" t="s">
        <v>253</v>
      </c>
      <c r="F57" s="239"/>
      <c r="G57" s="240"/>
      <c r="H57" s="45"/>
      <c r="I57" s="45"/>
    </row>
    <row r="58" spans="2:11" s="8" customFormat="1" ht="14.5" hidden="1" thickBot="1">
      <c r="B58" s="56"/>
      <c r="C58" s="20"/>
      <c r="D58" s="214"/>
      <c r="E58" s="214" t="s">
        <v>254</v>
      </c>
      <c r="F58" s="241"/>
      <c r="G58" s="242"/>
      <c r="H58" s="45"/>
    </row>
    <row r="59" spans="2:11" s="8" customFormat="1" ht="14.5" thickTop="1">
      <c r="B59" s="56"/>
      <c r="C59" s="20"/>
      <c r="D59" s="214"/>
      <c r="E59" s="214"/>
      <c r="F59" s="243"/>
      <c r="G59" s="243"/>
    </row>
    <row r="60" spans="2:11" s="8" customFormat="1" ht="15" thickBot="1">
      <c r="B60" s="56"/>
      <c r="C60" s="20"/>
      <c r="D60" s="214"/>
      <c r="E60" s="214" t="s">
        <v>43</v>
      </c>
      <c r="F60" s="214"/>
      <c r="G60" s="244"/>
      <c r="H60" s="44" t="s">
        <v>44</v>
      </c>
    </row>
    <row r="61" spans="2:11" s="8" customFormat="1" ht="15.5" thickTop="1" thickBot="1">
      <c r="B61" s="56"/>
      <c r="C61" s="20"/>
      <c r="D61" s="214"/>
      <c r="E61" s="214" t="s">
        <v>45</v>
      </c>
      <c r="F61" s="468" t="s">
        <v>23</v>
      </c>
      <c r="G61" s="469"/>
      <c r="H61" s="44" t="s">
        <v>46</v>
      </c>
    </row>
    <row r="62" spans="2:11" s="8" customFormat="1" ht="15" thickBot="1">
      <c r="B62" s="56"/>
      <c r="C62" s="20"/>
      <c r="D62" s="214"/>
      <c r="E62" s="214" t="s">
        <v>47</v>
      </c>
      <c r="F62" s="470" t="s">
        <v>24</v>
      </c>
      <c r="G62" s="390"/>
      <c r="H62" s="38" t="s">
        <v>48</v>
      </c>
    </row>
    <row r="63" spans="2:11" s="8" customFormat="1" ht="15" thickBot="1">
      <c r="B63" s="56"/>
      <c r="C63" s="20"/>
      <c r="D63" s="214"/>
      <c r="E63" s="214" t="s">
        <v>222</v>
      </c>
      <c r="F63" s="471" t="s">
        <v>223</v>
      </c>
      <c r="G63" s="472"/>
      <c r="H63" s="44" t="s">
        <v>224</v>
      </c>
    </row>
    <row r="64" spans="2:11" s="8" customFormat="1" ht="14.5" thickTop="1">
      <c r="B64" s="245"/>
      <c r="C64" s="222"/>
      <c r="D64" s="246" t="s">
        <v>225</v>
      </c>
      <c r="E64" s="246"/>
      <c r="F64" s="247">
        <f>IF(F8="Tiesa",1,0)</f>
        <v>1</v>
      </c>
      <c r="G64" s="247">
        <f>IF(G8="Tiesa",1,0)</f>
        <v>1</v>
      </c>
      <c r="H64" s="42" t="str">
        <f>IF(F64=1,$D64,"")</f>
        <v>A1</v>
      </c>
      <c r="I64" s="42" t="str">
        <f>IF(G64=1,$D64,"")</f>
        <v>A1</v>
      </c>
    </row>
    <row r="65" spans="2:9">
      <c r="B65" s="245"/>
      <c r="C65" s="222"/>
      <c r="D65" s="246" t="s">
        <v>226</v>
      </c>
      <c r="E65" s="246"/>
      <c r="F65" s="247">
        <f>IF(F11="Tiesa",1,0)</f>
        <v>0</v>
      </c>
      <c r="G65" s="247">
        <f>IF(G11="Tiesa",1,0)</f>
        <v>0</v>
      </c>
      <c r="H65" s="42" t="str">
        <f>IF(F65=1,$D65,"")</f>
        <v/>
      </c>
      <c r="I65" s="42" t="str">
        <f t="shared" ref="H65:I68" si="0">IF(G65=1,$D65,"")</f>
        <v/>
      </c>
    </row>
    <row r="66" spans="2:9" ht="14.25" customHeight="1">
      <c r="B66" s="56"/>
      <c r="C66" s="248"/>
      <c r="D66" s="246" t="s">
        <v>227</v>
      </c>
      <c r="E66" s="246"/>
      <c r="F66" s="247">
        <f>IF(F14="Tiesa",1,0)</f>
        <v>0</v>
      </c>
      <c r="G66" s="247">
        <f>IF(G14="Tiesa",1,0)</f>
        <v>0</v>
      </c>
      <c r="H66" s="42" t="str">
        <f>IF(F66=1,$D66,"")</f>
        <v/>
      </c>
      <c r="I66" s="42" t="str">
        <f t="shared" si="0"/>
        <v/>
      </c>
    </row>
    <row r="67" spans="2:9">
      <c r="D67" s="42" t="s">
        <v>228</v>
      </c>
      <c r="E67" s="42"/>
      <c r="F67" s="47">
        <f>IF(F17="Tiesa",1,0)</f>
        <v>0</v>
      </c>
      <c r="G67" s="47">
        <f>IF(G17="Tiesa",1,0)</f>
        <v>0</v>
      </c>
      <c r="H67" s="42" t="str">
        <f t="shared" si="0"/>
        <v/>
      </c>
      <c r="I67" s="42" t="str">
        <f t="shared" si="0"/>
        <v/>
      </c>
    </row>
    <row r="68" spans="2:9">
      <c r="D68" s="42" t="s">
        <v>229</v>
      </c>
      <c r="E68" s="42"/>
      <c r="F68" s="47">
        <f>IF(F20="Tiesa",1,0)</f>
        <v>1</v>
      </c>
      <c r="G68" s="47">
        <f>IF(G20="Tiesa",1,0)</f>
        <v>1</v>
      </c>
      <c r="H68" s="42" t="str">
        <f t="shared" si="0"/>
        <v>A5</v>
      </c>
      <c r="I68" s="42" t="str">
        <f>IF(G68=1,$D68,"")</f>
        <v>A5</v>
      </c>
    </row>
    <row r="69" spans="2:9">
      <c r="D69" s="42"/>
      <c r="E69" s="42"/>
      <c r="F69" s="47">
        <f>SUM(F64:F68)</f>
        <v>2</v>
      </c>
      <c r="G69" s="47">
        <f>SUM(G64:G68)</f>
        <v>2</v>
      </c>
      <c r="H69" s="42"/>
      <c r="I69" s="42"/>
    </row>
    <row r="70" spans="2:9">
      <c r="D70" s="42"/>
      <c r="E70" s="42"/>
      <c r="F70" s="42"/>
      <c r="G70" s="42"/>
      <c r="H70" s="42"/>
      <c r="I70" s="42"/>
    </row>
  </sheetData>
  <mergeCells count="50">
    <mergeCell ref="I47:K47"/>
    <mergeCell ref="I48:K48"/>
    <mergeCell ref="I49:K49"/>
    <mergeCell ref="I50:K50"/>
    <mergeCell ref="I51:K51"/>
    <mergeCell ref="F61:G61"/>
    <mergeCell ref="F62:G62"/>
    <mergeCell ref="F63:G63"/>
    <mergeCell ref="F38:G38"/>
    <mergeCell ref="F48:G48"/>
    <mergeCell ref="F49:G49"/>
    <mergeCell ref="F50:G50"/>
    <mergeCell ref="F47:G47"/>
    <mergeCell ref="F41:G41"/>
    <mergeCell ref="F42:G42"/>
    <mergeCell ref="C36:E36"/>
    <mergeCell ref="C8:C9"/>
    <mergeCell ref="C35:E35"/>
    <mergeCell ref="B1:C1"/>
    <mergeCell ref="B3:G3"/>
    <mergeCell ref="D4:E4"/>
    <mergeCell ref="F4:G4"/>
    <mergeCell ref="D8:E10"/>
    <mergeCell ref="B8:B10"/>
    <mergeCell ref="B11:B13"/>
    <mergeCell ref="D11:E13"/>
    <mergeCell ref="B14:B16"/>
    <mergeCell ref="D14:E16"/>
    <mergeCell ref="C11:C12"/>
    <mergeCell ref="C14:C15"/>
    <mergeCell ref="B5:E5"/>
    <mergeCell ref="C28:C32"/>
    <mergeCell ref="B23:B26"/>
    <mergeCell ref="D23:E26"/>
    <mergeCell ref="C23:C24"/>
    <mergeCell ref="C25:C26"/>
    <mergeCell ref="B28:B34"/>
    <mergeCell ref="C33:C34"/>
    <mergeCell ref="C20:C21"/>
    <mergeCell ref="D20:E22"/>
    <mergeCell ref="B20:B22"/>
    <mergeCell ref="C17:C18"/>
    <mergeCell ref="F27:G27"/>
    <mergeCell ref="D27:E27"/>
    <mergeCell ref="B6:B7"/>
    <mergeCell ref="D6:E7"/>
    <mergeCell ref="F6:G6"/>
    <mergeCell ref="F7:G7"/>
    <mergeCell ref="B17:B19"/>
    <mergeCell ref="D17:E19"/>
  </mergeCells>
  <hyperlinks>
    <hyperlink ref="B1" location="Content!A1" display="↖ atgal į turinį" xr:uid="{157D154F-6AF6-4176-8CAF-1EEC7F40D7AF}"/>
    <hyperlink ref="B1:C1" location="Content!A1" display="↖ atgal į turinį " xr:uid="{C1F28AC6-E1C5-42D9-974A-4CDFCB905D96}"/>
  </hyperlink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iconSet" priority="10" id="{661AC5CD-FA45-44D0-80E4-D6C7BFACF0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F8</xm:sqref>
        </x14:conditionalFormatting>
        <x14:conditionalFormatting xmlns:xm="http://schemas.microsoft.com/office/excel/2006/main">
          <x14:cfRule type="iconSet" priority="21" id="{2072703B-8A07-4D04-B0E1-0E2DA3750A6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F9:F10</xm:sqref>
        </x14:conditionalFormatting>
        <x14:conditionalFormatting xmlns:xm="http://schemas.microsoft.com/office/excel/2006/main">
          <x14:cfRule type="iconSet" priority="22" id="{767D6C9B-0DB4-4EFA-8449-19373B227E0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F11:F13</xm:sqref>
        </x14:conditionalFormatting>
        <x14:conditionalFormatting xmlns:xm="http://schemas.microsoft.com/office/excel/2006/main">
          <x14:cfRule type="iconSet" priority="19" id="{66C50081-35A7-4237-8618-B818ECEB4F5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F14:F15</xm:sqref>
        </x14:conditionalFormatting>
        <x14:conditionalFormatting xmlns:xm="http://schemas.microsoft.com/office/excel/2006/main">
          <x14:cfRule type="iconSet" priority="4" id="{FF51D037-EB06-4BF3-8B74-3B0ADEDDC26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F17</xm:sqref>
        </x14:conditionalFormatting>
        <x14:conditionalFormatting xmlns:xm="http://schemas.microsoft.com/office/excel/2006/main">
          <x14:cfRule type="iconSet" priority="3" id="{1A250BF7-AA6E-46D9-B5C4-D125B630174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F18</xm:sqref>
        </x14:conditionalFormatting>
        <x14:conditionalFormatting xmlns:xm="http://schemas.microsoft.com/office/excel/2006/main">
          <x14:cfRule type="iconSet" priority="5" id="{8FA66A3C-9B93-4766-8B10-4D7BCF482E2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F19</xm:sqref>
        </x14:conditionalFormatting>
        <x14:conditionalFormatting xmlns:xm="http://schemas.microsoft.com/office/excel/2006/main">
          <x14:cfRule type="iconSet" priority="20" id="{35BF4E43-C7E3-411C-A9FA-86FE88C6C8C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F20</xm:sqref>
        </x14:conditionalFormatting>
        <x14:conditionalFormatting xmlns:xm="http://schemas.microsoft.com/office/excel/2006/main">
          <x14:cfRule type="iconSet" priority="7" id="{1D77CD43-A23A-4754-A37E-5A87E87517D2}">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F21</xm:sqref>
        </x14:conditionalFormatting>
        <x14:conditionalFormatting xmlns:xm="http://schemas.microsoft.com/office/excel/2006/main">
          <x14:cfRule type="iconSet" priority="23" id="{57139533-41E0-4B8B-859F-0874CF5677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F22:G22 G21</xm:sqref>
        </x14:conditionalFormatting>
        <x14:conditionalFormatting xmlns:xm="http://schemas.microsoft.com/office/excel/2006/main">
          <x14:cfRule type="iconSet" priority="11" id="{872A1223-A666-45AB-90C0-CD32D13D5F4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G8</xm:sqref>
        </x14:conditionalFormatting>
        <x14:conditionalFormatting xmlns:xm="http://schemas.microsoft.com/office/excel/2006/main">
          <x14:cfRule type="iconSet" priority="14" id="{C3F3D702-6C08-4B07-A875-5AF7B88710ED}">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G9:G10</xm:sqref>
        </x14:conditionalFormatting>
        <x14:conditionalFormatting xmlns:xm="http://schemas.microsoft.com/office/excel/2006/main">
          <x14:cfRule type="iconSet" priority="17" id="{E78A37C1-1D97-4A12-ABC3-6664B3D6011B}">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G11:G12</xm:sqref>
        </x14:conditionalFormatting>
        <x14:conditionalFormatting xmlns:xm="http://schemas.microsoft.com/office/excel/2006/main">
          <x14:cfRule type="iconSet" priority="18" id="{A04B66C3-301F-4E29-A078-32683701CBC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G13</xm:sqref>
        </x14:conditionalFormatting>
        <x14:conditionalFormatting xmlns:xm="http://schemas.microsoft.com/office/excel/2006/main">
          <x14:cfRule type="iconSet" priority="16" id="{9396564F-B0F2-42C0-ABF5-BA5C738AD3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G14:G15</xm:sqref>
        </x14:conditionalFormatting>
        <x14:conditionalFormatting xmlns:xm="http://schemas.microsoft.com/office/excel/2006/main">
          <x14:cfRule type="iconSet" priority="1" id="{D6528875-3EA9-4A09-BDCE-C3A750504A28}">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G17</xm:sqref>
        </x14:conditionalFormatting>
        <x14:conditionalFormatting xmlns:xm="http://schemas.microsoft.com/office/excel/2006/main">
          <x14:cfRule type="iconSet" priority="2" id="{DA4118A7-23A0-4047-9FF0-1589B4EACD8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G18:G19</xm:sqref>
        </x14:conditionalFormatting>
        <x14:conditionalFormatting xmlns:xm="http://schemas.microsoft.com/office/excel/2006/main">
          <x14:cfRule type="iconSet" priority="15" id="{45899898-BB0D-4DA7-9D7A-8FF8213207BE}">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G20</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4E6CE-07CA-4C86-88DB-79F085AF440C}">
  <sheetPr codeName="Lapas7">
    <tabColor theme="7"/>
  </sheetPr>
  <dimension ref="A1:H34"/>
  <sheetViews>
    <sheetView showGridLines="0" showRowColHeaders="0" zoomScaleNormal="100" workbookViewId="0"/>
  </sheetViews>
  <sheetFormatPr defaultColWidth="10" defaultRowHeight="14"/>
  <cols>
    <col min="1" max="1" width="3.6328125" style="1" customWidth="1"/>
    <col min="2" max="2" width="4.453125" style="1" customWidth="1"/>
    <col min="3" max="3" width="102" style="1" customWidth="1"/>
    <col min="4" max="4" width="28.36328125" style="1" customWidth="1"/>
    <col min="5" max="5" width="21.08984375" style="1" customWidth="1"/>
    <col min="6" max="6" width="21.54296875" style="1" customWidth="1"/>
    <col min="7" max="16384" width="10" style="1"/>
  </cols>
  <sheetData>
    <row r="1" spans="1:6">
      <c r="B1" s="456" t="s">
        <v>19</v>
      </c>
      <c r="C1" s="456"/>
      <c r="D1" s="2"/>
    </row>
    <row r="2" spans="1:6" ht="14.5" thickBot="1">
      <c r="A2" s="8" t="s">
        <v>20</v>
      </c>
    </row>
    <row r="3" spans="1:6" ht="38.25" customHeight="1" thickTop="1" thickBot="1">
      <c r="B3" s="427" t="s">
        <v>322</v>
      </c>
      <c r="C3" s="428"/>
      <c r="D3" s="428"/>
      <c r="E3" s="428"/>
      <c r="F3" s="429"/>
    </row>
    <row r="4" spans="1:6" ht="29" thickBot="1">
      <c r="B4" s="177" t="s">
        <v>265</v>
      </c>
      <c r="C4" s="178" t="s">
        <v>266</v>
      </c>
      <c r="D4" s="178" t="s">
        <v>267</v>
      </c>
      <c r="E4" s="482" t="s">
        <v>268</v>
      </c>
      <c r="F4" s="483"/>
    </row>
    <row r="5" spans="1:6" ht="30" customHeight="1" thickBot="1">
      <c r="B5" s="432" t="s">
        <v>149</v>
      </c>
      <c r="C5" s="433"/>
      <c r="D5" s="433"/>
      <c r="E5" s="144" t="s">
        <v>23</v>
      </c>
      <c r="F5" s="139" t="s">
        <v>24</v>
      </c>
    </row>
    <row r="6" spans="1:6" ht="29.25" customHeight="1">
      <c r="A6" s="62"/>
      <c r="B6" s="424" t="s">
        <v>263</v>
      </c>
      <c r="C6" s="496" t="s">
        <v>245</v>
      </c>
      <c r="D6" s="502" t="s">
        <v>230</v>
      </c>
      <c r="E6" s="145" t="str">
        <f>IF(E24&gt;=0,"Tiesa","Netiesa")</f>
        <v>Tiesa</v>
      </c>
      <c r="F6" s="126" t="str">
        <f>IF(F24+eps&gt;=0,"Tiesa","Netiesa")</f>
        <v>Tiesa</v>
      </c>
    </row>
    <row r="7" spans="1:6" ht="29.25" customHeight="1">
      <c r="A7" s="62"/>
      <c r="B7" s="424"/>
      <c r="C7" s="497"/>
      <c r="D7" s="503"/>
      <c r="E7" s="106" t="str">
        <f>CONCATENATE(FIXED(E24,1),IF(E24&gt;= 0," ≥ "," &lt; "),FIXED(0,1))</f>
        <v>0,0 ≥ 0,0</v>
      </c>
      <c r="F7" s="140" t="str">
        <f>CONCATENATE(FIXED(F24,1),IF(F24=eps&gt;= 0," ≥ "," &lt; "),FIXED(0,1))</f>
        <v>0,0 ≥ 0,0</v>
      </c>
    </row>
    <row r="8" spans="1:6" ht="35.25" customHeight="1" thickBot="1">
      <c r="A8" s="62"/>
      <c r="B8" s="424"/>
      <c r="C8" s="99" t="s">
        <v>231</v>
      </c>
      <c r="D8" s="504"/>
      <c r="E8" s="105" t="str">
        <f>IF(E6="Tiesa","True","False")</f>
        <v>True</v>
      </c>
      <c r="F8" s="128" t="str">
        <f>IF(F6="Tiesa","True","False")</f>
        <v>True</v>
      </c>
    </row>
    <row r="9" spans="1:6" ht="21.75" customHeight="1">
      <c r="A9" s="62"/>
      <c r="B9" s="424"/>
      <c r="C9" s="505" t="s">
        <v>232</v>
      </c>
      <c r="D9" s="506"/>
      <c r="E9" s="146" t="str">
        <f>IF(E6="Netiesa","Netenkinama","Tenkinama")</f>
        <v>Tenkinama</v>
      </c>
      <c r="F9" s="141" t="str">
        <f>IF(F6="Netiesa","Netenkinama","Tenkinama")</f>
        <v>Tenkinama</v>
      </c>
    </row>
    <row r="10" spans="1:6" ht="21.75" customHeight="1" thickBot="1">
      <c r="A10" s="62"/>
      <c r="B10" s="425"/>
      <c r="C10" s="498" t="s">
        <v>233</v>
      </c>
      <c r="D10" s="499"/>
      <c r="E10" s="147" t="str">
        <f>IF(E9="Tenkinama","Valid","Invalid ")</f>
        <v>Valid</v>
      </c>
      <c r="F10" s="142" t="str">
        <f>IF(F9="Tenkinama","Valid","Invalid ")</f>
        <v>Valid</v>
      </c>
    </row>
    <row r="11" spans="1:6" ht="17.399999999999999" customHeight="1">
      <c r="A11" s="62"/>
      <c r="B11" s="424" t="s">
        <v>264</v>
      </c>
      <c r="C11" s="500" t="s">
        <v>234</v>
      </c>
      <c r="D11" s="404" t="s">
        <v>235</v>
      </c>
      <c r="E11" s="145" t="str">
        <f>IF(E21+eps&lt;0, "Tiesa","Netiesa")</f>
        <v>Tiesa</v>
      </c>
      <c r="F11" s="126" t="str">
        <f>IF(F21+eps&lt;0,"Tiesa","Netiesa")</f>
        <v>Tiesa</v>
      </c>
    </row>
    <row r="12" spans="1:6" ht="38.25" customHeight="1">
      <c r="A12" s="62"/>
      <c r="B12" s="424"/>
      <c r="C12" s="501"/>
      <c r="D12" s="488"/>
      <c r="E12" s="148" t="str">
        <f>CONCATENATE(FIXED(E21,1),IF(E21+eps&lt;0," &lt; "," ≥ "),FIXED(0,1))</f>
        <v>-2,1 &lt; 0,0</v>
      </c>
      <c r="F12" s="127" t="str">
        <f>CONCATENATE(FIXED(F21,1),IF(F21+eps&lt;0," &lt; "," ≥ "),FIXED(0,1))</f>
        <v>-0,5 &lt; 0,0</v>
      </c>
    </row>
    <row r="13" spans="1:6" ht="21" customHeight="1" thickBot="1">
      <c r="A13" s="62"/>
      <c r="B13" s="424"/>
      <c r="C13" s="501"/>
      <c r="D13" s="488"/>
      <c r="E13" s="149" t="str">
        <f>IF(E11="Tiesa","True","False")</f>
        <v>True</v>
      </c>
      <c r="F13" s="143" t="str">
        <f>IF(F11="Tiesa","True","False")</f>
        <v>True</v>
      </c>
    </row>
    <row r="14" spans="1:6" ht="18.75" customHeight="1">
      <c r="A14" s="62"/>
      <c r="B14" s="424"/>
      <c r="C14" s="486" t="s">
        <v>236</v>
      </c>
      <c r="D14" s="488" t="s">
        <v>237</v>
      </c>
      <c r="E14" s="150" t="str">
        <f>IF(OR((E21&gt;=0)*(E22&gt;=0),(E21&gt;=0)*(E22&gt;=E23)),"Tiesa","Netiesa")</f>
        <v>Netiesa</v>
      </c>
      <c r="F14" s="126" t="str">
        <f>IF(OR((F21&gt;=0)*(F22&gt;=0),(F21&gt;=0)*(F22&gt;=F23)),"Tiesa","Netiesa")</f>
        <v>Netiesa</v>
      </c>
    </row>
    <row r="15" spans="1:6" ht="47.25" customHeight="1">
      <c r="A15" s="62"/>
      <c r="B15" s="424"/>
      <c r="C15" s="486"/>
      <c r="D15" s="488"/>
      <c r="E15" s="106" t="str">
        <f>CONCATENATE(FIXED(E21,1),,IF(E21&lt;0," &lt; "," ≥ "),FIXED(0,1), " &amp;
","(",
 FIXED(E22,1),IF(E22&gt;=E23," ≥ "," &lt; "), FIXED(E23,1), " arba / or ",FIXED(E22,1),IF(E22&lt;0," &lt; "," ≥ "),FIXED(0,1),")")</f>
        <v>-2,1 &lt; 0,0 &amp;
(1,4 ≥ 1,3 arba / or 1,4 ≥ 0,0)</v>
      </c>
      <c r="F15" s="127" t="str">
        <f>CONCATENATE(FIXED(F21,1),,IF(F21&lt;0," &lt; "," ≥ "),FIXED(0,1), " &amp;
","(", FIXED(F22,1),IF(F22&gt;=F23," ≥ "," &lt; "), FIXED(F23,1), " arba / or ",FIXED(F22,1),IF(F22&lt;0," &lt; "," ≥ "),FIXED(0,1),")")</f>
        <v>-0,5 &lt; 0,0 &amp;
(1,3 ≥ 1,1 arba / or 1,3 ≥ 0,0)</v>
      </c>
    </row>
    <row r="16" spans="1:6" ht="18" customHeight="1" thickBot="1">
      <c r="A16" s="62"/>
      <c r="B16" s="424"/>
      <c r="C16" s="487"/>
      <c r="D16" s="489"/>
      <c r="E16" s="105" t="str">
        <f>IF(E14="Tiesa","True","False")</f>
        <v>False</v>
      </c>
      <c r="F16" s="120" t="str">
        <f>IF(F14="Tiesa","True","False")</f>
        <v>False</v>
      </c>
    </row>
    <row r="17" spans="1:8" ht="21" customHeight="1">
      <c r="A17" s="62"/>
      <c r="B17" s="424"/>
      <c r="C17" s="492" t="s">
        <v>41</v>
      </c>
      <c r="D17" s="493"/>
      <c r="E17" s="146" t="str">
        <f>IF(OR(E11="Tiesa",E14="Tiesa"),"Tenkinama","Netenkinama")</f>
        <v>Tenkinama</v>
      </c>
      <c r="F17" s="141" t="str">
        <f>IF(OR(F11="Tiesa",F14="Tiesa"),"Tenkinama","Netenkinama")</f>
        <v>Tenkinama</v>
      </c>
    </row>
    <row r="18" spans="1:8" ht="21" customHeight="1" thickBot="1">
      <c r="A18" s="62"/>
      <c r="B18" s="425"/>
      <c r="C18" s="484" t="s">
        <v>238</v>
      </c>
      <c r="D18" s="485"/>
      <c r="E18" s="147" t="str">
        <f>IF(E17="Tenkinama","Valid","Invalid ")</f>
        <v>Valid</v>
      </c>
      <c r="F18" s="142" t="str">
        <f>IF(F17="Tenkinama","Valid","Invalid ")</f>
        <v>Valid</v>
      </c>
    </row>
    <row r="19" spans="1:8" ht="14.5" thickBot="1">
      <c r="B19" s="20"/>
      <c r="C19" s="210" t="s">
        <v>239</v>
      </c>
      <c r="D19" s="249"/>
      <c r="E19" s="249"/>
      <c r="F19" s="249"/>
      <c r="H19" s="27"/>
    </row>
    <row r="20" spans="1:8" ht="15" thickTop="1" thickBot="1">
      <c r="B20" s="20"/>
      <c r="C20" s="213" t="s">
        <v>240</v>
      </c>
      <c r="D20" s="214" t="s">
        <v>169</v>
      </c>
      <c r="E20" s="400">
        <v>2024</v>
      </c>
      <c r="F20" s="401"/>
      <c r="H20" s="27"/>
    </row>
    <row r="21" spans="1:8" ht="14.5" thickBot="1">
      <c r="B21" s="20"/>
      <c r="C21" s="20"/>
      <c r="D21" s="214" t="s">
        <v>173</v>
      </c>
      <c r="E21" s="173">
        <f>'2. Macro'!L20</f>
        <v>-2.0509821231029957</v>
      </c>
      <c r="F21" s="174">
        <f>'2. Macro'!L19</f>
        <v>-0.51209270146669317</v>
      </c>
      <c r="H21" s="27"/>
    </row>
    <row r="22" spans="1:8" ht="16.5" thickBot="1">
      <c r="B22" s="20"/>
      <c r="C22" s="20"/>
      <c r="D22" s="214" t="s">
        <v>241</v>
      </c>
      <c r="E22" s="173">
        <f>'3. GGbudget'!F31</f>
        <v>1.4405508559543887</v>
      </c>
      <c r="F22" s="174">
        <f>'3. GGbudget'!H31</f>
        <v>1.3003526329822543</v>
      </c>
      <c r="H22" s="27"/>
    </row>
    <row r="23" spans="1:8" ht="16.5" thickBot="1">
      <c r="B23" s="20"/>
      <c r="C23" s="20"/>
      <c r="D23" s="214" t="s">
        <v>242</v>
      </c>
      <c r="E23" s="173">
        <f>'3. GGbudget'!E31</f>
        <v>1.2784128833364479</v>
      </c>
      <c r="F23" s="174">
        <f>'3. GGbudget'!G31</f>
        <v>1.1469188366542489</v>
      </c>
      <c r="G23" s="13"/>
      <c r="H23" s="27"/>
    </row>
    <row r="24" spans="1:8" ht="16.5" thickBot="1">
      <c r="B24" s="20"/>
      <c r="C24" s="20"/>
      <c r="D24" s="214" t="s">
        <v>243</v>
      </c>
      <c r="E24" s="175">
        <f>'3. GGbudget'!F32</f>
        <v>4.6466537768203441E-2</v>
      </c>
      <c r="F24" s="176">
        <f>'3. GGbudget'!H32</f>
        <v>-2.7032788804778517E-2</v>
      </c>
      <c r="H24" s="6"/>
    </row>
    <row r="25" spans="1:8" ht="15.5" thickTop="1" thickBot="1">
      <c r="B25" s="20"/>
      <c r="C25" s="20"/>
      <c r="D25" s="214" t="s">
        <v>43</v>
      </c>
      <c r="E25" s="214"/>
      <c r="F25" s="244"/>
      <c r="G25" s="38" t="s">
        <v>244</v>
      </c>
      <c r="H25" s="6"/>
    </row>
    <row r="26" spans="1:8" ht="15.5" thickTop="1" thickBot="1">
      <c r="B26" s="20"/>
      <c r="C26" s="20"/>
      <c r="D26" s="214" t="s">
        <v>45</v>
      </c>
      <c r="E26" s="494" t="s">
        <v>23</v>
      </c>
      <c r="F26" s="495"/>
      <c r="G26" s="38" t="s">
        <v>46</v>
      </c>
      <c r="H26" s="6"/>
    </row>
    <row r="27" spans="1:8" ht="15" thickBot="1">
      <c r="B27" s="20"/>
      <c r="C27" s="20"/>
      <c r="D27" s="214" t="s">
        <v>47</v>
      </c>
      <c r="E27" s="490" t="s">
        <v>24</v>
      </c>
      <c r="F27" s="491"/>
      <c r="G27" s="38" t="s">
        <v>48</v>
      </c>
    </row>
    <row r="28" spans="1:8" ht="14.5" thickTop="1">
      <c r="B28" s="20"/>
      <c r="C28" s="20"/>
      <c r="D28" s="20"/>
      <c r="E28" s="214"/>
      <c r="F28" s="20"/>
    </row>
    <row r="29" spans="1:8">
      <c r="B29" s="20"/>
      <c r="C29" s="20"/>
      <c r="D29" s="20"/>
      <c r="E29" s="214"/>
      <c r="F29" s="56"/>
    </row>
    <row r="30" spans="1:8">
      <c r="B30" s="20"/>
      <c r="C30" s="20"/>
      <c r="D30" s="20"/>
      <c r="E30" s="214"/>
      <c r="F30" s="56"/>
    </row>
    <row r="31" spans="1:8">
      <c r="B31" s="20"/>
      <c r="C31" s="20"/>
      <c r="D31" s="20"/>
      <c r="E31" s="20"/>
      <c r="F31" s="20"/>
    </row>
    <row r="32" spans="1:8">
      <c r="B32" s="20"/>
      <c r="C32" s="20"/>
      <c r="D32" s="20"/>
      <c r="E32" s="20"/>
      <c r="F32" s="20"/>
    </row>
    <row r="33" spans="2:6">
      <c r="B33" s="20"/>
      <c r="C33" s="20"/>
      <c r="D33" s="20"/>
      <c r="E33" s="20"/>
      <c r="F33" s="20"/>
    </row>
    <row r="34" spans="2:6">
      <c r="B34" s="20"/>
      <c r="C34" s="20"/>
      <c r="D34" s="20"/>
      <c r="E34" s="20"/>
      <c r="F34" s="20"/>
    </row>
  </sheetData>
  <mergeCells count="19">
    <mergeCell ref="E27:F27"/>
    <mergeCell ref="C17:D17"/>
    <mergeCell ref="E26:F26"/>
    <mergeCell ref="E20:F20"/>
    <mergeCell ref="C6:C7"/>
    <mergeCell ref="C10:D10"/>
    <mergeCell ref="C11:C13"/>
    <mergeCell ref="D11:D13"/>
    <mergeCell ref="D6:D8"/>
    <mergeCell ref="C9:D9"/>
    <mergeCell ref="B1:C1"/>
    <mergeCell ref="B3:F3"/>
    <mergeCell ref="E4:F4"/>
    <mergeCell ref="B5:D5"/>
    <mergeCell ref="C18:D18"/>
    <mergeCell ref="B11:B18"/>
    <mergeCell ref="C14:C16"/>
    <mergeCell ref="D14:D16"/>
    <mergeCell ref="B6:B10"/>
  </mergeCells>
  <hyperlinks>
    <hyperlink ref="B1" location="Content!A1" display="↖ atgal į turinį" xr:uid="{B71953B6-330D-4ED7-8079-C38394BB8B23}"/>
    <hyperlink ref="B1:C1" location="Content!A1" display="↖ atgal į turinį " xr:uid="{BDD87164-81F1-4FEB-8E1C-26DB6BF719FB}"/>
  </hyperlinks>
  <pageMargins left="0.7" right="0.7" top="0.75" bottom="0.75" header="0.3" footer="0.3"/>
  <pageSetup orientation="portrait" r:id="rId1"/>
  <extLst>
    <ext xmlns:x14="http://schemas.microsoft.com/office/spreadsheetml/2009/9/main" uri="{78C0D931-6437-407d-A8EE-F0AAD7539E65}">
      <x14:conditionalFormattings>
        <x14:conditionalFormatting xmlns:xm="http://schemas.microsoft.com/office/excel/2006/main">
          <x14:cfRule type="iconSet" priority="6" id="{7768F42C-F4EB-4B1C-AD42-D278E6CB6665}">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E6</xm:sqref>
        </x14:conditionalFormatting>
        <x14:conditionalFormatting xmlns:xm="http://schemas.microsoft.com/office/excel/2006/main">
          <x14:cfRule type="iconSet" priority="12" id="{B8369092-41EC-4A9A-AF93-4D2E1F497EF4}">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E11</xm:sqref>
        </x14:conditionalFormatting>
        <x14:conditionalFormatting xmlns:xm="http://schemas.microsoft.com/office/excel/2006/main">
          <x14:cfRule type="iconSet" priority="10" id="{9F7BAB54-E851-4C5F-AA9A-DD4B1E7D0D87}">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E14</xm:sqref>
        </x14:conditionalFormatting>
        <x14:conditionalFormatting xmlns:xm="http://schemas.microsoft.com/office/excel/2006/main">
          <x14:cfRule type="iconSet" priority="5" id="{D1789F80-749D-467A-9481-C2282EB8BB01}">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F6</xm:sqref>
        </x14:conditionalFormatting>
        <x14:conditionalFormatting xmlns:xm="http://schemas.microsoft.com/office/excel/2006/main">
          <x14:cfRule type="iconSet" priority="1" id="{BB5EF5DE-FA95-491C-BF0F-28C77E54FF9C}">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F8</xm:sqref>
        </x14:conditionalFormatting>
        <x14:conditionalFormatting xmlns:xm="http://schemas.microsoft.com/office/excel/2006/main">
          <x14:cfRule type="iconSet" priority="11" id="{022929F0-4CC2-4A83-827E-3A78B143D8BA}">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F11</xm:sqref>
        </x14:conditionalFormatting>
        <x14:conditionalFormatting xmlns:xm="http://schemas.microsoft.com/office/excel/2006/main">
          <x14:cfRule type="iconSet" priority="9" id="{0CE319AF-D3E6-4488-8C18-F7FB9A55CB43}">
            <x14:iconSet iconSet="3Symbols" showValue="0" custom="1">
              <x14:cfvo type="percent">
                <xm:f>0</xm:f>
              </x14:cfvo>
              <x14:cfvo type="formula">
                <xm:f>"&lt;=0"</xm:f>
              </x14:cfvo>
              <x14:cfvo type="formula" gte="0">
                <xm:f>0</xm:f>
              </x14:cfvo>
              <x14:cfIcon iconSet="NoIcons" iconId="0"/>
              <x14:cfIcon iconSet="3Symbols" iconId="0"/>
              <x14:cfIcon iconSet="3Symbols" iconId="2"/>
            </x14:iconSet>
          </x14:cfRule>
          <xm:sqref>F14</xm:sqref>
        </x14:conditionalFormatting>
      </x14:conditionalFormatting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7D6BFA-57F5-469D-BE27-2B3E8F71571D}">
  <sheetPr>
    <tabColor theme="1" tint="0.499984740745262"/>
  </sheetPr>
  <dimension ref="A1:AD39"/>
  <sheetViews>
    <sheetView showGridLines="0" showRowColHeaders="0" zoomScaleNormal="100" workbookViewId="0"/>
  </sheetViews>
  <sheetFormatPr defaultColWidth="10" defaultRowHeight="14"/>
  <cols>
    <col min="1" max="1" width="3.6328125" style="1" customWidth="1"/>
    <col min="2" max="2" width="58" style="1" customWidth="1"/>
    <col min="3" max="4" width="10.54296875" style="1" customWidth="1"/>
    <col min="5" max="21" width="10.90625" style="1" customWidth="1"/>
    <col min="22" max="22" width="11.6328125" style="1" customWidth="1"/>
    <col min="23" max="23" width="12.453125" style="1" customWidth="1"/>
    <col min="24" max="16384" width="10" style="1"/>
  </cols>
  <sheetData>
    <row r="1" spans="1:30">
      <c r="A1" s="221"/>
      <c r="B1" s="426" t="s">
        <v>19</v>
      </c>
      <c r="C1" s="426"/>
      <c r="D1" s="252"/>
      <c r="E1" s="252"/>
      <c r="F1" s="252"/>
      <c r="G1" s="252"/>
      <c r="H1" s="252"/>
      <c r="I1" s="252"/>
      <c r="J1" s="252"/>
      <c r="K1" s="252"/>
      <c r="L1" s="252"/>
      <c r="M1" s="252"/>
      <c r="N1" s="252"/>
      <c r="O1" s="252"/>
      <c r="P1" s="252"/>
      <c r="Q1" s="252"/>
      <c r="R1" s="252"/>
      <c r="S1" s="252"/>
      <c r="T1" s="252"/>
      <c r="U1" s="252"/>
      <c r="V1" s="252"/>
      <c r="W1" s="252"/>
    </row>
    <row r="2" spans="1:30" ht="14.5" thickBot="1">
      <c r="A2" s="222" t="s">
        <v>20</v>
      </c>
      <c r="B2" s="20"/>
      <c r="C2" s="20"/>
      <c r="D2" s="20"/>
      <c r="E2" s="20"/>
      <c r="F2" s="20"/>
      <c r="G2" s="20"/>
      <c r="H2" s="20"/>
      <c r="I2" s="20"/>
      <c r="J2" s="20"/>
      <c r="K2" s="20"/>
      <c r="L2" s="20"/>
      <c r="M2" s="20"/>
      <c r="N2" s="20"/>
      <c r="O2" s="20"/>
      <c r="P2" s="20"/>
      <c r="Q2" s="20"/>
      <c r="R2" s="20"/>
      <c r="S2" s="20"/>
      <c r="T2" s="20"/>
      <c r="U2" s="20"/>
      <c r="V2" s="20"/>
      <c r="W2" s="20"/>
    </row>
    <row r="3" spans="1:30" ht="49.5" customHeight="1" thickBot="1">
      <c r="A3" s="212"/>
      <c r="B3" s="510" t="s">
        <v>280</v>
      </c>
      <c r="C3" s="511"/>
      <c r="D3" s="511"/>
      <c r="E3" s="511"/>
      <c r="F3" s="511"/>
      <c r="G3" s="511"/>
      <c r="H3" s="511"/>
      <c r="I3" s="511"/>
      <c r="J3" s="511"/>
      <c r="K3" s="511"/>
      <c r="L3" s="511"/>
      <c r="M3" s="511"/>
      <c r="N3" s="511"/>
      <c r="O3" s="511"/>
      <c r="P3" s="511"/>
      <c r="Q3" s="511"/>
      <c r="R3" s="511"/>
      <c r="S3" s="511"/>
      <c r="T3" s="511"/>
      <c r="U3" s="511"/>
      <c r="V3" s="511"/>
      <c r="W3" s="511"/>
      <c r="X3" s="511"/>
      <c r="Y3" s="511"/>
      <c r="Z3" s="511"/>
      <c r="AA3" s="511"/>
      <c r="AB3" s="511"/>
      <c r="AC3" s="511"/>
    </row>
    <row r="4" spans="1:30" ht="41.25" customHeight="1" thickBot="1">
      <c r="A4" s="20"/>
      <c r="B4" s="282" t="s">
        <v>281</v>
      </c>
      <c r="C4" s="281"/>
      <c r="D4" s="507">
        <v>2016</v>
      </c>
      <c r="E4" s="508"/>
      <c r="F4" s="507">
        <v>2017</v>
      </c>
      <c r="G4" s="509"/>
      <c r="H4" s="507">
        <v>2018</v>
      </c>
      <c r="I4" s="509"/>
      <c r="J4" s="508"/>
      <c r="K4" s="507">
        <v>2019</v>
      </c>
      <c r="L4" s="509"/>
      <c r="M4" s="508"/>
      <c r="N4" s="507">
        <v>2020</v>
      </c>
      <c r="O4" s="509"/>
      <c r="P4" s="508"/>
      <c r="Q4" s="507">
        <v>2021</v>
      </c>
      <c r="R4" s="509"/>
      <c r="S4" s="508"/>
      <c r="T4" s="507">
        <v>2022</v>
      </c>
      <c r="U4" s="509"/>
      <c r="V4" s="508"/>
      <c r="W4" s="507">
        <v>2023</v>
      </c>
      <c r="X4" s="509"/>
      <c r="Y4" s="508"/>
      <c r="Z4" s="457">
        <v>2024</v>
      </c>
      <c r="AA4" s="457"/>
      <c r="AB4" s="457"/>
      <c r="AC4" s="102">
        <v>2025</v>
      </c>
    </row>
    <row r="5" spans="1:30" ht="61.25" customHeight="1" thickBot="1">
      <c r="A5" s="20"/>
      <c r="B5" s="253"/>
      <c r="C5" s="254" t="s">
        <v>282</v>
      </c>
      <c r="D5" s="255" t="s">
        <v>283</v>
      </c>
      <c r="E5" s="255" t="s">
        <v>284</v>
      </c>
      <c r="F5" s="255" t="s">
        <v>283</v>
      </c>
      <c r="G5" s="255" t="s">
        <v>285</v>
      </c>
      <c r="H5" s="255" t="s">
        <v>283</v>
      </c>
      <c r="I5" s="255" t="s">
        <v>285</v>
      </c>
      <c r="J5" s="255" t="s">
        <v>284</v>
      </c>
      <c r="K5" s="255" t="s">
        <v>283</v>
      </c>
      <c r="L5" s="255" t="s">
        <v>285</v>
      </c>
      <c r="M5" s="255" t="s">
        <v>284</v>
      </c>
      <c r="N5" s="255" t="s">
        <v>283</v>
      </c>
      <c r="O5" s="255" t="s">
        <v>285</v>
      </c>
      <c r="P5" s="255" t="s">
        <v>284</v>
      </c>
      <c r="Q5" s="255" t="s">
        <v>283</v>
      </c>
      <c r="R5" s="255" t="s">
        <v>285</v>
      </c>
      <c r="S5" s="255" t="s">
        <v>284</v>
      </c>
      <c r="T5" s="255" t="s">
        <v>283</v>
      </c>
      <c r="U5" s="255" t="s">
        <v>286</v>
      </c>
      <c r="V5" s="255" t="s">
        <v>287</v>
      </c>
      <c r="W5" s="255" t="s">
        <v>288</v>
      </c>
      <c r="X5" s="255" t="s">
        <v>285</v>
      </c>
      <c r="Y5" s="255" t="s">
        <v>287</v>
      </c>
      <c r="Z5" s="255" t="s">
        <v>288</v>
      </c>
      <c r="AA5" s="255" t="s">
        <v>285</v>
      </c>
      <c r="AB5" s="255" t="s">
        <v>284</v>
      </c>
      <c r="AC5" s="255" t="s">
        <v>288</v>
      </c>
    </row>
    <row r="6" spans="1:30" ht="25.25" customHeight="1" thickBot="1">
      <c r="A6" s="20"/>
      <c r="B6" s="256" t="s">
        <v>289</v>
      </c>
      <c r="C6" s="257"/>
      <c r="D6" s="258">
        <v>42321</v>
      </c>
      <c r="E6" s="258">
        <v>43054</v>
      </c>
      <c r="F6" s="258">
        <v>42689</v>
      </c>
      <c r="G6" s="258">
        <v>43054</v>
      </c>
      <c r="H6" s="258">
        <v>43054</v>
      </c>
      <c r="I6" s="258">
        <v>43412</v>
      </c>
      <c r="J6" s="258">
        <v>43599</v>
      </c>
      <c r="K6" s="258">
        <v>43412</v>
      </c>
      <c r="L6" s="258">
        <v>43781</v>
      </c>
      <c r="M6" s="258">
        <v>43966</v>
      </c>
      <c r="N6" s="258">
        <v>43781</v>
      </c>
      <c r="O6" s="258">
        <v>44145</v>
      </c>
      <c r="P6" s="258">
        <v>44328</v>
      </c>
      <c r="Q6" s="258">
        <v>44145</v>
      </c>
      <c r="R6" s="258">
        <v>44508</v>
      </c>
      <c r="S6" s="258">
        <v>44686</v>
      </c>
      <c r="T6" s="259">
        <v>44686</v>
      </c>
      <c r="U6" s="259">
        <f>W6</f>
        <v>44862</v>
      </c>
      <c r="V6" s="259">
        <v>45054</v>
      </c>
      <c r="W6" s="260">
        <v>44862</v>
      </c>
      <c r="X6" s="260">
        <v>45226</v>
      </c>
      <c r="Y6" s="259">
        <v>45434</v>
      </c>
      <c r="Z6" s="260">
        <v>45226</v>
      </c>
      <c r="AA6" s="260">
        <v>45590</v>
      </c>
      <c r="AB6" s="260">
        <v>45811</v>
      </c>
      <c r="AC6" s="303" t="s">
        <v>323</v>
      </c>
      <c r="AD6" s="12"/>
    </row>
    <row r="7" spans="1:30" ht="14.25" customHeight="1">
      <c r="A7" s="20"/>
      <c r="B7" s="261" t="s">
        <v>150</v>
      </c>
      <c r="C7" s="217"/>
      <c r="D7" s="516" t="str">
        <f>"Ne"</f>
        <v>Ne</v>
      </c>
      <c r="E7" s="517"/>
      <c r="F7" s="516" t="str">
        <f>"Ne"</f>
        <v>Ne</v>
      </c>
      <c r="G7" s="517"/>
      <c r="H7" s="516" t="str">
        <f>"Ne"</f>
        <v>Ne</v>
      </c>
      <c r="I7" s="517"/>
      <c r="J7" s="518"/>
      <c r="K7" s="516" t="str">
        <f>"Ne"</f>
        <v>Ne</v>
      </c>
      <c r="L7" s="517"/>
      <c r="M7" s="518"/>
      <c r="N7" s="516" t="str">
        <f>"Taip"</f>
        <v>Taip</v>
      </c>
      <c r="O7" s="517"/>
      <c r="P7" s="518"/>
      <c r="Q7" s="516" t="str">
        <f>"Taip"</f>
        <v>Taip</v>
      </c>
      <c r="R7" s="517"/>
      <c r="S7" s="518"/>
      <c r="T7" s="516" t="str">
        <f>"Taip"</f>
        <v>Taip</v>
      </c>
      <c r="U7" s="517"/>
      <c r="V7" s="518"/>
      <c r="W7" s="522" t="str">
        <f>"Taip"</f>
        <v>Taip</v>
      </c>
      <c r="X7" s="523"/>
      <c r="Y7" s="524"/>
      <c r="Z7" s="516" t="str">
        <f>"Taip"</f>
        <v>Taip</v>
      </c>
      <c r="AA7" s="517"/>
      <c r="AB7" s="518"/>
      <c r="AC7" s="328" t="str">
        <f>"Ne"</f>
        <v>Ne</v>
      </c>
    </row>
    <row r="8" spans="1:30" ht="14.25" customHeight="1" thickBot="1">
      <c r="A8" s="20"/>
      <c r="B8" s="262" t="s">
        <v>29</v>
      </c>
      <c r="C8" s="218"/>
      <c r="D8" s="519" t="str">
        <f>"No"</f>
        <v>No</v>
      </c>
      <c r="E8" s="520"/>
      <c r="F8" s="519" t="str">
        <f>"No"</f>
        <v>No</v>
      </c>
      <c r="G8" s="520"/>
      <c r="H8" s="519" t="str">
        <f>"No"</f>
        <v>No</v>
      </c>
      <c r="I8" s="520"/>
      <c r="J8" s="521"/>
      <c r="K8" s="519" t="str">
        <f>"No"</f>
        <v>No</v>
      </c>
      <c r="L8" s="520"/>
      <c r="M8" s="521"/>
      <c r="N8" s="519" t="str">
        <f>"Yes"</f>
        <v>Yes</v>
      </c>
      <c r="O8" s="520"/>
      <c r="P8" s="521"/>
      <c r="Q8" s="519" t="str">
        <f>"Yes"</f>
        <v>Yes</v>
      </c>
      <c r="R8" s="520"/>
      <c r="S8" s="521"/>
      <c r="T8" s="519" t="str">
        <f>"Yes"</f>
        <v>Yes</v>
      </c>
      <c r="U8" s="520"/>
      <c r="V8" s="521"/>
      <c r="W8" s="519" t="str">
        <f>"Yes"</f>
        <v>Yes</v>
      </c>
      <c r="X8" s="520"/>
      <c r="Y8" s="521"/>
      <c r="Z8" s="519" t="str">
        <f>"Yes"</f>
        <v>Yes</v>
      </c>
      <c r="AA8" s="520"/>
      <c r="AB8" s="521"/>
      <c r="AC8" s="329" t="str">
        <f>"No"</f>
        <v>No</v>
      </c>
    </row>
    <row r="9" spans="1:30" ht="14.25" customHeight="1" thickBot="1">
      <c r="A9" s="20"/>
      <c r="B9" s="263" t="s">
        <v>290</v>
      </c>
      <c r="C9" s="264" t="s">
        <v>23</v>
      </c>
      <c r="D9" s="287">
        <v>-0.3</v>
      </c>
      <c r="E9" s="287">
        <v>0.6</v>
      </c>
      <c r="F9" s="287">
        <v>1.4</v>
      </c>
      <c r="G9" s="287">
        <v>1.7</v>
      </c>
      <c r="H9" s="287">
        <v>1.6</v>
      </c>
      <c r="I9" s="287">
        <v>2.4</v>
      </c>
      <c r="J9" s="287">
        <v>2.9</v>
      </c>
      <c r="K9" s="287">
        <v>1.5</v>
      </c>
      <c r="L9" s="287">
        <v>3.5</v>
      </c>
      <c r="M9" s="287">
        <v>4</v>
      </c>
      <c r="N9" s="287">
        <v>2.2000000000000002</v>
      </c>
      <c r="O9" s="287">
        <v>-1.1000000000000001</v>
      </c>
      <c r="P9" s="287">
        <v>-0.6</v>
      </c>
      <c r="Q9" s="287">
        <v>-1.3</v>
      </c>
      <c r="R9" s="287">
        <v>-0.7</v>
      </c>
      <c r="S9" s="287">
        <v>0.4</v>
      </c>
      <c r="T9" s="287">
        <v>-0.7</v>
      </c>
      <c r="U9" s="287">
        <v>-1</v>
      </c>
      <c r="V9" s="287">
        <v>-0.4</v>
      </c>
      <c r="W9" s="287">
        <v>-2.4</v>
      </c>
      <c r="X9" s="287">
        <v>-1.9237921079299225</v>
      </c>
      <c r="Y9" s="287">
        <v>-2</v>
      </c>
      <c r="Z9" s="287">
        <v>-2.2530986878562032</v>
      </c>
      <c r="AA9" s="287">
        <v>-1.9985156346188804</v>
      </c>
      <c r="AB9" s="287">
        <v>-2.0509821231029957</v>
      </c>
      <c r="AC9" s="287">
        <v>-2.0708332933234486</v>
      </c>
    </row>
    <row r="10" spans="1:30" ht="14.25" customHeight="1" thickBot="1">
      <c r="A10" s="20"/>
      <c r="B10" s="265" t="s">
        <v>291</v>
      </c>
      <c r="C10" s="319" t="s">
        <v>24</v>
      </c>
      <c r="D10" s="318">
        <v>0.9</v>
      </c>
      <c r="E10" s="318">
        <v>0.6</v>
      </c>
      <c r="F10" s="318">
        <v>0.9</v>
      </c>
      <c r="G10" s="318">
        <v>1.6</v>
      </c>
      <c r="H10" s="318">
        <v>2.4</v>
      </c>
      <c r="I10" s="318">
        <v>2.2999999999999998</v>
      </c>
      <c r="J10" s="318">
        <v>1.8</v>
      </c>
      <c r="K10" s="318">
        <v>2.2999999999999998</v>
      </c>
      <c r="L10" s="318">
        <v>3.4</v>
      </c>
      <c r="M10" s="318">
        <v>3.5</v>
      </c>
      <c r="N10" s="318">
        <v>2.7</v>
      </c>
      <c r="O10" s="318">
        <v>-0.6</v>
      </c>
      <c r="P10" s="318">
        <v>-0.35</v>
      </c>
      <c r="Q10" s="318">
        <v>-0.4</v>
      </c>
      <c r="R10" s="318">
        <v>0.3</v>
      </c>
      <c r="S10" s="318">
        <v>2.2000000000000002</v>
      </c>
      <c r="T10" s="318">
        <v>0.7</v>
      </c>
      <c r="U10" s="318">
        <v>0.3</v>
      </c>
      <c r="V10" s="318">
        <v>1.3</v>
      </c>
      <c r="W10" s="318">
        <v>-1.4</v>
      </c>
      <c r="X10" s="318">
        <v>-2.4837897115830843</v>
      </c>
      <c r="Y10" s="288">
        <v>-1.8</v>
      </c>
      <c r="Z10" s="318">
        <v>-4.139237694902187</v>
      </c>
      <c r="AA10" s="318">
        <v>-2.6962432359061594</v>
      </c>
      <c r="AB10" s="318">
        <v>-0.51209270146669317</v>
      </c>
      <c r="AC10" s="318">
        <v>-2.0958314030578462</v>
      </c>
      <c r="AD10" s="12"/>
    </row>
    <row r="11" spans="1:30" ht="19.5" customHeight="1" thickBot="1">
      <c r="A11" s="20"/>
      <c r="B11" s="266" t="s">
        <v>292</v>
      </c>
      <c r="C11" s="310" t="s">
        <v>23</v>
      </c>
      <c r="D11" s="304"/>
      <c r="E11" s="267"/>
      <c r="F11" s="268"/>
      <c r="G11" s="305" t="s">
        <v>293</v>
      </c>
      <c r="H11" s="267"/>
      <c r="I11" s="267"/>
      <c r="J11" s="267"/>
      <c r="K11" s="267"/>
      <c r="L11" s="268"/>
      <c r="M11" s="268"/>
      <c r="N11" s="267"/>
      <c r="O11" s="269"/>
      <c r="P11" s="269"/>
      <c r="Q11" s="269"/>
      <c r="R11" s="269"/>
      <c r="S11" s="269"/>
      <c r="T11" s="269"/>
      <c r="U11" s="269"/>
      <c r="V11" s="269"/>
      <c r="W11" s="269"/>
      <c r="X11" s="269"/>
      <c r="Y11" s="269"/>
      <c r="Z11" s="269"/>
      <c r="AA11" s="269"/>
      <c r="AB11" s="323"/>
      <c r="AC11" s="269"/>
    </row>
    <row r="12" spans="1:30" ht="19.5" customHeight="1" thickBot="1">
      <c r="A12" s="20"/>
      <c r="B12" s="270" t="s">
        <v>294</v>
      </c>
      <c r="C12" s="320" t="s">
        <v>24</v>
      </c>
      <c r="D12" s="306"/>
      <c r="E12" s="312"/>
      <c r="F12" s="313"/>
      <c r="G12" s="313"/>
      <c r="H12" s="313"/>
      <c r="I12" s="313"/>
      <c r="J12" s="312"/>
      <c r="K12" s="313"/>
      <c r="L12" s="313"/>
      <c r="M12" s="313"/>
      <c r="N12" s="313"/>
      <c r="O12" s="314"/>
      <c r="P12" s="314"/>
      <c r="Q12" s="314"/>
      <c r="R12" s="314"/>
      <c r="S12" s="314"/>
      <c r="T12" s="314"/>
      <c r="U12" s="314"/>
      <c r="V12" s="314"/>
      <c r="W12" s="314"/>
      <c r="X12" s="314"/>
      <c r="Y12" s="314"/>
      <c r="Z12" s="314"/>
      <c r="AA12" s="314"/>
      <c r="AB12" s="324"/>
      <c r="AC12" s="314"/>
    </row>
    <row r="13" spans="1:30" ht="19.5" customHeight="1" thickBot="1">
      <c r="A13" s="20"/>
      <c r="B13" s="271" t="s">
        <v>295</v>
      </c>
      <c r="C13" s="310" t="s">
        <v>23</v>
      </c>
      <c r="D13" s="307"/>
      <c r="E13" s="315" t="s">
        <v>293</v>
      </c>
      <c r="F13" s="314"/>
      <c r="G13" s="314"/>
      <c r="H13" s="314"/>
      <c r="I13" s="314"/>
      <c r="J13" s="314"/>
      <c r="K13" s="314"/>
      <c r="L13" s="314"/>
      <c r="M13" s="314"/>
      <c r="N13" s="314"/>
      <c r="O13" s="314"/>
      <c r="P13" s="314"/>
      <c r="Q13" s="314"/>
      <c r="R13" s="314"/>
      <c r="S13" s="314"/>
      <c r="T13" s="314"/>
      <c r="U13" s="314"/>
      <c r="V13" s="314"/>
      <c r="W13" s="314"/>
      <c r="X13" s="314"/>
      <c r="Y13" s="314"/>
      <c r="Z13" s="314"/>
      <c r="AA13" s="314"/>
      <c r="AB13" s="324"/>
      <c r="AC13" s="314"/>
    </row>
    <row r="14" spans="1:30" ht="19.5" customHeight="1" thickBot="1">
      <c r="A14" s="20"/>
      <c r="B14" s="270" t="s">
        <v>296</v>
      </c>
      <c r="C14" s="320" t="s">
        <v>24</v>
      </c>
      <c r="D14" s="307"/>
      <c r="E14" s="315" t="s">
        <v>293</v>
      </c>
      <c r="F14" s="314"/>
      <c r="G14" s="315" t="s">
        <v>293</v>
      </c>
      <c r="H14" s="313"/>
      <c r="I14" s="316" t="s">
        <v>293</v>
      </c>
      <c r="J14" s="313"/>
      <c r="K14" s="314"/>
      <c r="L14" s="314"/>
      <c r="M14" s="314"/>
      <c r="N14" s="314"/>
      <c r="O14" s="314"/>
      <c r="P14" s="314"/>
      <c r="Q14" s="314"/>
      <c r="R14" s="314"/>
      <c r="S14" s="314"/>
      <c r="T14" s="314"/>
      <c r="U14" s="314"/>
      <c r="V14" s="314"/>
      <c r="W14" s="314"/>
      <c r="X14" s="314"/>
      <c r="Y14" s="314"/>
      <c r="Z14" s="314"/>
      <c r="AA14" s="314"/>
      <c r="AB14" s="324"/>
      <c r="AC14" s="314"/>
    </row>
    <row r="15" spans="1:30" ht="20.25" customHeight="1" thickBot="1">
      <c r="A15" s="20"/>
      <c r="B15" s="271" t="s">
        <v>232</v>
      </c>
      <c r="C15" s="310" t="s">
        <v>23</v>
      </c>
      <c r="D15" s="307"/>
      <c r="E15" s="314"/>
      <c r="F15" s="314"/>
      <c r="G15" s="314"/>
      <c r="H15" s="314"/>
      <c r="I15" s="314"/>
      <c r="J15" s="312"/>
      <c r="K15" s="312"/>
      <c r="L15" s="312"/>
      <c r="M15" s="313"/>
      <c r="N15" s="312"/>
      <c r="O15" s="313"/>
      <c r="P15" s="312"/>
      <c r="Q15" s="312"/>
      <c r="R15" s="312"/>
      <c r="S15" s="312"/>
      <c r="T15" s="312"/>
      <c r="U15" s="317"/>
      <c r="V15" s="312"/>
      <c r="W15" s="317"/>
      <c r="X15" s="317"/>
      <c r="Y15" s="317"/>
      <c r="Z15" s="317"/>
      <c r="AA15" s="317"/>
      <c r="AB15" s="325"/>
      <c r="AC15" s="317"/>
    </row>
    <row r="16" spans="1:30" ht="19.5" customHeight="1" thickBot="1">
      <c r="A16" s="20"/>
      <c r="B16" s="270" t="s">
        <v>233</v>
      </c>
      <c r="C16" s="320" t="s">
        <v>24</v>
      </c>
      <c r="D16" s="307"/>
      <c r="E16" s="314"/>
      <c r="F16" s="314"/>
      <c r="G16" s="314"/>
      <c r="H16" s="314"/>
      <c r="I16" s="314"/>
      <c r="J16" s="312"/>
      <c r="K16" s="312"/>
      <c r="L16" s="312"/>
      <c r="M16" s="313"/>
      <c r="N16" s="312"/>
      <c r="O16" s="313"/>
      <c r="P16" s="312"/>
      <c r="Q16" s="312"/>
      <c r="R16" s="312"/>
      <c r="S16" s="312"/>
      <c r="T16" s="312"/>
      <c r="U16" s="317"/>
      <c r="V16" s="312"/>
      <c r="W16" s="317"/>
      <c r="X16" s="317"/>
      <c r="Y16" s="317"/>
      <c r="Z16" s="317"/>
      <c r="AA16" s="317"/>
      <c r="AB16" s="325"/>
      <c r="AC16" s="317"/>
    </row>
    <row r="17" spans="1:29" ht="19.5" customHeight="1" thickBot="1">
      <c r="A17" s="20"/>
      <c r="B17" s="266" t="s">
        <v>41</v>
      </c>
      <c r="C17" s="310" t="s">
        <v>23</v>
      </c>
      <c r="D17" s="308" t="s">
        <v>293</v>
      </c>
      <c r="E17" s="316" t="s">
        <v>293</v>
      </c>
      <c r="F17" s="312"/>
      <c r="G17" s="312"/>
      <c r="H17" s="312"/>
      <c r="I17" s="312"/>
      <c r="J17" s="312"/>
      <c r="K17" s="312"/>
      <c r="L17" s="312"/>
      <c r="M17" s="312"/>
      <c r="N17" s="312"/>
      <c r="O17" s="312"/>
      <c r="P17" s="312"/>
      <c r="Q17" s="312"/>
      <c r="R17" s="312"/>
      <c r="S17" s="312"/>
      <c r="T17" s="312"/>
      <c r="U17" s="317"/>
      <c r="V17" s="312"/>
      <c r="W17" s="317"/>
      <c r="X17" s="317"/>
      <c r="Y17" s="317"/>
      <c r="Z17" s="317"/>
      <c r="AA17" s="317"/>
      <c r="AB17" s="325"/>
      <c r="AC17" s="317"/>
    </row>
    <row r="18" spans="1:29" ht="19.5" customHeight="1" thickBot="1">
      <c r="A18" s="20"/>
      <c r="B18" s="270" t="s">
        <v>238</v>
      </c>
      <c r="C18" s="320" t="s">
        <v>24</v>
      </c>
      <c r="D18" s="309" t="s">
        <v>293</v>
      </c>
      <c r="E18" s="272" t="s">
        <v>293</v>
      </c>
      <c r="F18" s="273"/>
      <c r="G18" s="273"/>
      <c r="H18" s="273"/>
      <c r="I18" s="273"/>
      <c r="J18" s="273"/>
      <c r="K18" s="273"/>
      <c r="L18" s="273"/>
      <c r="M18" s="273"/>
      <c r="N18" s="273"/>
      <c r="O18" s="273"/>
      <c r="P18" s="273"/>
      <c r="Q18" s="273"/>
      <c r="R18" s="273"/>
      <c r="S18" s="273"/>
      <c r="T18" s="273"/>
      <c r="U18" s="274"/>
      <c r="V18" s="273"/>
      <c r="W18" s="274"/>
      <c r="X18" s="274"/>
      <c r="Y18" s="274"/>
      <c r="Z18" s="274"/>
      <c r="AA18" s="274"/>
      <c r="AB18" s="326"/>
      <c r="AC18" s="274"/>
    </row>
    <row r="19" spans="1:29" ht="15.75" customHeight="1" thickBot="1">
      <c r="A19" s="20"/>
      <c r="B19" s="20"/>
      <c r="C19" s="399"/>
      <c r="D19" s="399"/>
      <c r="E19" s="399"/>
      <c r="F19" s="399"/>
      <c r="G19" s="399"/>
      <c r="H19" s="399"/>
      <c r="I19" s="399"/>
      <c r="J19" s="399"/>
      <c r="K19" s="399"/>
      <c r="L19" s="399"/>
      <c r="M19" s="399"/>
      <c r="N19" s="399"/>
      <c r="O19" s="399"/>
      <c r="P19" s="399"/>
      <c r="Q19" s="399"/>
      <c r="R19" s="399"/>
      <c r="S19" s="399"/>
      <c r="T19" s="399"/>
      <c r="U19" s="399"/>
      <c r="V19" s="399"/>
      <c r="W19" s="399"/>
    </row>
    <row r="20" spans="1:29" ht="14.5">
      <c r="A20" s="20"/>
      <c r="B20" s="20"/>
      <c r="E20" s="237" t="s">
        <v>297</v>
      </c>
      <c r="F20" s="275"/>
      <c r="G20" s="276"/>
      <c r="H20" s="38" t="s">
        <v>298</v>
      </c>
      <c r="O20" s="213"/>
      <c r="P20" s="213"/>
      <c r="Q20" s="213"/>
      <c r="R20" s="213"/>
      <c r="S20" s="213"/>
      <c r="T20" s="213"/>
      <c r="U20" s="213"/>
      <c r="V20" s="213"/>
      <c r="W20" s="213"/>
    </row>
    <row r="21" spans="1:29" ht="14.5">
      <c r="A21" s="20"/>
      <c r="B21" s="20"/>
      <c r="E21" s="237" t="s">
        <v>299</v>
      </c>
      <c r="F21" s="277"/>
      <c r="G21" s="278"/>
      <c r="H21" s="38" t="s">
        <v>300</v>
      </c>
      <c r="O21" s="20"/>
      <c r="P21" s="20"/>
      <c r="Q21" s="20"/>
      <c r="R21" s="20"/>
      <c r="S21" s="20"/>
    </row>
    <row r="22" spans="1:29" ht="14.5">
      <c r="A22" s="20"/>
      <c r="B22" s="20"/>
      <c r="E22" s="237" t="s">
        <v>301</v>
      </c>
      <c r="F22" s="279"/>
      <c r="G22" s="280"/>
      <c r="H22" s="38" t="s">
        <v>302</v>
      </c>
      <c r="O22" s="20"/>
      <c r="P22" s="20"/>
      <c r="Q22" s="20"/>
      <c r="R22" s="20"/>
      <c r="S22" s="20"/>
    </row>
    <row r="23" spans="1:29" ht="15.75" customHeight="1" thickBot="1">
      <c r="A23" s="20"/>
      <c r="B23" s="20"/>
      <c r="E23" s="237" t="s">
        <v>303</v>
      </c>
      <c r="F23" s="512" t="s">
        <v>293</v>
      </c>
      <c r="G23" s="513"/>
      <c r="H23" s="38" t="s">
        <v>304</v>
      </c>
      <c r="O23" s="20"/>
      <c r="P23" s="20"/>
      <c r="Q23" s="20"/>
      <c r="R23" s="20"/>
      <c r="S23" s="20"/>
    </row>
    <row r="24" spans="1:29">
      <c r="A24" s="20"/>
      <c r="B24" s="20"/>
      <c r="E24" s="20"/>
      <c r="F24" s="20"/>
      <c r="G24" s="20"/>
      <c r="H24" s="20"/>
      <c r="L24" s="20"/>
      <c r="M24" s="20"/>
      <c r="N24" s="20"/>
      <c r="O24" s="20"/>
      <c r="P24" s="20"/>
      <c r="Q24" s="20"/>
      <c r="R24" s="20"/>
      <c r="S24" s="20"/>
    </row>
    <row r="25" spans="1:29" ht="15" thickBot="1">
      <c r="A25" s="20"/>
      <c r="B25" s="20"/>
      <c r="E25" s="214" t="s">
        <v>43</v>
      </c>
      <c r="F25" s="20"/>
      <c r="G25" s="20"/>
      <c r="H25" s="44" t="s">
        <v>44</v>
      </c>
      <c r="L25" s="20"/>
      <c r="M25" s="20"/>
      <c r="N25" s="20"/>
      <c r="O25" s="20"/>
      <c r="P25" s="20"/>
      <c r="Q25" s="20"/>
      <c r="R25" s="20"/>
      <c r="S25" s="20"/>
    </row>
    <row r="26" spans="1:29" ht="15.75" customHeight="1" thickBot="1">
      <c r="A26" s="20"/>
      <c r="B26" s="20"/>
      <c r="E26" s="214" t="s">
        <v>45</v>
      </c>
      <c r="F26" s="514" t="s">
        <v>23</v>
      </c>
      <c r="G26" s="515"/>
      <c r="H26" s="44" t="s">
        <v>46</v>
      </c>
      <c r="L26" s="20"/>
      <c r="M26" s="20"/>
      <c r="N26" s="20"/>
      <c r="O26" s="20"/>
      <c r="P26" s="20"/>
      <c r="Q26" s="20"/>
      <c r="R26" s="20"/>
      <c r="S26" s="20"/>
    </row>
    <row r="27" spans="1:29" ht="15" thickBot="1">
      <c r="A27" s="20"/>
      <c r="B27" s="20"/>
      <c r="C27" s="214"/>
      <c r="D27" s="214"/>
      <c r="E27" s="214" t="s">
        <v>47</v>
      </c>
      <c r="F27" s="389" t="s">
        <v>24</v>
      </c>
      <c r="G27" s="389"/>
      <c r="H27" s="38" t="s">
        <v>48</v>
      </c>
      <c r="I27" s="214"/>
      <c r="L27" s="20"/>
      <c r="M27" s="20"/>
      <c r="N27" s="20"/>
      <c r="O27" s="20"/>
      <c r="P27" s="20"/>
      <c r="Q27" s="20"/>
      <c r="R27" s="20"/>
      <c r="S27" s="20"/>
    </row>
    <row r="28" spans="1:29">
      <c r="A28" s="20"/>
      <c r="B28" s="20"/>
      <c r="C28" s="214"/>
      <c r="D28" s="214"/>
      <c r="K28" s="214"/>
      <c r="L28" s="214"/>
      <c r="M28" s="214"/>
      <c r="N28" s="214"/>
      <c r="O28" s="214"/>
      <c r="P28" s="214"/>
      <c r="Q28" s="214"/>
      <c r="R28" s="214"/>
      <c r="S28" s="214"/>
    </row>
    <row r="29" spans="1:29">
      <c r="A29" s="20"/>
      <c r="B29" s="20"/>
      <c r="C29" s="214"/>
      <c r="D29" s="214"/>
      <c r="E29" s="214"/>
      <c r="F29" s="214"/>
      <c r="G29" s="214"/>
      <c r="H29" s="214"/>
      <c r="I29" s="214"/>
      <c r="J29" s="214"/>
      <c r="K29" s="214"/>
      <c r="L29" s="214"/>
      <c r="M29" s="214"/>
      <c r="N29" s="214"/>
      <c r="O29" s="214"/>
      <c r="P29" s="214"/>
      <c r="Q29" s="214"/>
      <c r="R29" s="214"/>
      <c r="S29" s="214"/>
      <c r="T29" s="214"/>
      <c r="U29" s="214"/>
      <c r="V29" s="214"/>
      <c r="W29" s="214"/>
    </row>
    <row r="30" spans="1:29" s="8" customFormat="1">
      <c r="C30" s="28" t="s">
        <v>175</v>
      </c>
      <c r="D30" s="28"/>
      <c r="E30" s="28"/>
      <c r="F30" s="28"/>
      <c r="G30" s="28"/>
      <c r="H30" s="28"/>
      <c r="I30" s="28"/>
      <c r="J30" s="28"/>
      <c r="K30" s="28"/>
      <c r="L30" s="28"/>
      <c r="M30" s="28"/>
      <c r="N30" s="28"/>
      <c r="O30" s="28"/>
      <c r="P30" s="28"/>
      <c r="Q30" s="28"/>
      <c r="R30" s="28"/>
      <c r="S30" s="28"/>
      <c r="T30" s="28"/>
      <c r="U30" s="28"/>
      <c r="V30" s="28"/>
      <c r="W30" s="28"/>
    </row>
    <row r="31" spans="1:29" s="8" customFormat="1">
      <c r="C31" s="28" t="s">
        <v>177</v>
      </c>
      <c r="D31" s="28"/>
      <c r="E31" s="28"/>
      <c r="F31" s="28"/>
      <c r="G31" s="28"/>
      <c r="H31" s="28"/>
      <c r="I31" s="28"/>
      <c r="J31" s="28"/>
      <c r="K31" s="28"/>
      <c r="L31" s="28"/>
      <c r="M31" s="28"/>
      <c r="N31" s="28"/>
      <c r="O31" s="28"/>
      <c r="P31" s="28"/>
      <c r="Q31" s="28"/>
      <c r="R31" s="28"/>
      <c r="S31" s="28"/>
      <c r="T31" s="28"/>
      <c r="U31" s="28"/>
      <c r="V31" s="28"/>
      <c r="W31" s="28"/>
    </row>
    <row r="32" spans="1:29" s="8" customFormat="1">
      <c r="C32" s="28" t="s">
        <v>179</v>
      </c>
      <c r="D32" s="28"/>
      <c r="E32" s="28"/>
      <c r="F32" s="28"/>
      <c r="G32" s="28"/>
      <c r="H32" s="28"/>
      <c r="I32" s="28"/>
      <c r="J32" s="28"/>
      <c r="K32" s="28"/>
      <c r="L32" s="28"/>
      <c r="M32" s="28"/>
      <c r="N32" s="28"/>
      <c r="O32" s="28"/>
      <c r="P32" s="28"/>
      <c r="Q32" s="28"/>
      <c r="R32" s="28"/>
      <c r="S32" s="28"/>
      <c r="T32" s="28"/>
      <c r="U32" s="28"/>
      <c r="V32" s="28"/>
      <c r="W32" s="28"/>
      <c r="X32" s="31"/>
      <c r="Y32" s="31"/>
      <c r="Z32" s="31"/>
    </row>
    <row r="33" spans="3:28" s="8" customFormat="1">
      <c r="C33" s="28" t="s">
        <v>181</v>
      </c>
      <c r="D33" s="28"/>
      <c r="E33" s="28"/>
      <c r="F33" s="28"/>
      <c r="G33" s="28"/>
      <c r="H33" s="28"/>
      <c r="I33" s="28"/>
      <c r="J33" s="28"/>
      <c r="K33" s="28"/>
      <c r="L33" s="28"/>
      <c r="M33" s="28"/>
      <c r="N33" s="28"/>
      <c r="O33" s="28"/>
      <c r="P33" s="28"/>
      <c r="Q33" s="28"/>
      <c r="R33" s="28"/>
      <c r="S33" s="28"/>
      <c r="T33" s="28"/>
      <c r="U33" s="28"/>
      <c r="V33" s="28"/>
      <c r="W33" s="28"/>
      <c r="X33" s="31"/>
      <c r="Y33" s="31"/>
      <c r="Z33" s="31"/>
    </row>
    <row r="34" spans="3:28" s="8" customFormat="1"/>
    <row r="35" spans="3:28">
      <c r="C35" s="10"/>
      <c r="D35" s="10"/>
      <c r="E35" s="10"/>
      <c r="F35" s="10"/>
      <c r="G35" s="10"/>
      <c r="H35" s="10"/>
      <c r="I35" s="10"/>
      <c r="J35" s="10"/>
      <c r="K35" s="10"/>
      <c r="L35" s="10"/>
      <c r="M35" s="10"/>
      <c r="N35" s="10"/>
      <c r="O35" s="10"/>
      <c r="P35" s="10"/>
      <c r="Q35" s="10"/>
      <c r="R35" s="10"/>
      <c r="S35" s="10"/>
      <c r="T35" s="10"/>
      <c r="U35" s="10"/>
      <c r="V35" s="10"/>
      <c r="W35" s="10"/>
      <c r="X35" s="8"/>
      <c r="Y35" s="8"/>
      <c r="Z35" s="8"/>
      <c r="AA35" s="8"/>
      <c r="AB35" s="8"/>
    </row>
    <row r="36" spans="3:28">
      <c r="C36" s="10"/>
      <c r="D36" s="10"/>
      <c r="E36" s="10"/>
      <c r="F36" s="10"/>
      <c r="G36" s="10"/>
      <c r="H36" s="10"/>
      <c r="I36" s="10"/>
      <c r="J36" s="10"/>
      <c r="K36" s="10"/>
      <c r="L36" s="10"/>
      <c r="M36" s="10"/>
      <c r="N36" s="10"/>
      <c r="O36" s="10"/>
      <c r="P36" s="10"/>
      <c r="Q36" s="10"/>
      <c r="R36" s="10"/>
      <c r="S36" s="10"/>
      <c r="T36" s="10"/>
      <c r="U36" s="10"/>
      <c r="V36" s="10"/>
      <c r="W36" s="10"/>
      <c r="X36" s="8"/>
      <c r="Y36" s="8"/>
      <c r="Z36" s="8"/>
      <c r="AA36" s="8"/>
      <c r="AB36" s="8"/>
    </row>
    <row r="37" spans="3:28">
      <c r="C37" s="12"/>
      <c r="D37" s="12"/>
      <c r="E37" s="12"/>
      <c r="F37" s="12"/>
      <c r="G37" s="12"/>
      <c r="H37" s="12"/>
      <c r="I37" s="12"/>
      <c r="J37" s="12"/>
      <c r="K37" s="12"/>
      <c r="L37" s="12"/>
      <c r="M37" s="12"/>
      <c r="N37" s="12"/>
      <c r="O37" s="12"/>
      <c r="P37" s="12"/>
      <c r="Q37" s="12"/>
      <c r="R37" s="12"/>
      <c r="S37" s="12"/>
      <c r="T37" s="12"/>
      <c r="U37" s="12"/>
      <c r="V37" s="12"/>
      <c r="W37" s="12"/>
    </row>
    <row r="38" spans="3:28">
      <c r="C38" s="12"/>
      <c r="D38" s="12"/>
      <c r="E38" s="12"/>
      <c r="F38" s="12"/>
      <c r="G38" s="12"/>
      <c r="H38" s="12"/>
      <c r="I38" s="12"/>
      <c r="J38" s="12"/>
      <c r="K38" s="12"/>
      <c r="L38" s="12"/>
      <c r="M38" s="12"/>
      <c r="N38" s="12"/>
      <c r="O38" s="12"/>
      <c r="P38" s="12"/>
      <c r="Q38" s="12"/>
      <c r="R38" s="12"/>
      <c r="S38" s="12"/>
      <c r="T38" s="12"/>
      <c r="U38" s="12"/>
      <c r="V38" s="12"/>
      <c r="W38" s="12"/>
    </row>
    <row r="39" spans="3:28">
      <c r="C39" s="12"/>
      <c r="D39" s="12"/>
      <c r="E39" s="12"/>
      <c r="F39" s="12"/>
      <c r="G39" s="12"/>
      <c r="H39" s="12"/>
      <c r="I39" s="12"/>
      <c r="J39" s="12"/>
      <c r="K39" s="12"/>
      <c r="L39" s="12"/>
      <c r="M39" s="12"/>
      <c r="N39" s="12"/>
      <c r="O39" s="12"/>
      <c r="P39" s="12"/>
      <c r="Q39" s="12"/>
      <c r="R39" s="12"/>
      <c r="S39" s="12"/>
      <c r="T39" s="12"/>
      <c r="U39" s="12"/>
      <c r="V39" s="12"/>
      <c r="W39" s="12"/>
    </row>
  </sheetData>
  <mergeCells count="33">
    <mergeCell ref="Z7:AB7"/>
    <mergeCell ref="Z8:AB8"/>
    <mergeCell ref="Z4:AB4"/>
    <mergeCell ref="Q8:S8"/>
    <mergeCell ref="T8:V8"/>
    <mergeCell ref="T4:V4"/>
    <mergeCell ref="W7:Y7"/>
    <mergeCell ref="W8:Y8"/>
    <mergeCell ref="W4:Y4"/>
    <mergeCell ref="Q4:S4"/>
    <mergeCell ref="C19:W19"/>
    <mergeCell ref="F23:G23"/>
    <mergeCell ref="F26:G26"/>
    <mergeCell ref="F27:G27"/>
    <mergeCell ref="Q7:S7"/>
    <mergeCell ref="D7:E7"/>
    <mergeCell ref="F7:G7"/>
    <mergeCell ref="H7:J7"/>
    <mergeCell ref="K7:M7"/>
    <mergeCell ref="N7:P7"/>
    <mergeCell ref="T7:V7"/>
    <mergeCell ref="D8:E8"/>
    <mergeCell ref="F8:G8"/>
    <mergeCell ref="H8:J8"/>
    <mergeCell ref="K8:M8"/>
    <mergeCell ref="N8:P8"/>
    <mergeCell ref="B1:C1"/>
    <mergeCell ref="D4:E4"/>
    <mergeCell ref="F4:G4"/>
    <mergeCell ref="H4:J4"/>
    <mergeCell ref="K4:M4"/>
    <mergeCell ref="B3:AC3"/>
    <mergeCell ref="N4:P4"/>
  </mergeCells>
  <hyperlinks>
    <hyperlink ref="B1" location="Content!A1" display="↖ atgal į turinį" xr:uid="{05558EF7-F704-4AB3-A820-D354BFCDED4F}"/>
    <hyperlink ref="B1:C1" location="Content!A1" display="↖ atgal į turinį " xr:uid="{0457F257-85C2-46B7-89F3-C3C80846FD96}"/>
  </hyperlink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as" ma:contentTypeID="0x010100F745BF3751E471449C35EB2B2D21EAD1" ma:contentTypeVersion="18" ma:contentTypeDescription="Kurkite naują dokumentą." ma:contentTypeScope="" ma:versionID="47822087d9d9d00a74aceea32818ebd2">
  <xsd:schema xmlns:xsd="http://www.w3.org/2001/XMLSchema" xmlns:xs="http://www.w3.org/2001/XMLSchema" xmlns:p="http://schemas.microsoft.com/office/2006/metadata/properties" xmlns:ns2="cef9cdfa-f4fd-4645-9be5-758c49499792" xmlns:ns3="c102cb31-f5d5-4956-a0cb-1590ba369788" targetNamespace="http://schemas.microsoft.com/office/2006/metadata/properties" ma:root="true" ma:fieldsID="449f4ea70d415ec00cc69ab8ab1651e8" ns2:_="" ns3:_="">
    <xsd:import namespace="cef9cdfa-f4fd-4645-9be5-758c49499792"/>
    <xsd:import namespace="c102cb31-f5d5-4956-a0cb-1590ba36978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DateTaken"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ef9cdfa-f4fd-4645-9be5-758c4949979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DateTaken" ma:index="13" nillable="true" ma:displayName="MediaServiceDateTaken" ma:hidden="true" ma:internalName="MediaServiceDateTaken"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Vaizdų žymės" ma:readOnly="false" ma:fieldId="{5cf76f15-5ced-4ddc-b409-7134ff3c332f}" ma:taxonomyMulti="true" ma:sspId="d2df5aa5-79f2-496f-895d-621c3e445b76"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102cb31-f5d5-4956-a0cb-1590ba369788" elementFormDefault="qualified">
    <xsd:import namespace="http://schemas.microsoft.com/office/2006/documentManagement/types"/>
    <xsd:import namespace="http://schemas.microsoft.com/office/infopath/2007/PartnerControls"/>
    <xsd:element name="SharedWithUsers" ma:index="16" nillable="true" ma:displayName="Bendrinama su"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Bendrinta su išsamia informacija" ma:internalName="SharedWithDetails" ma:readOnly="true">
      <xsd:simpleType>
        <xsd:restriction base="dms:Note">
          <xsd:maxLength value="255"/>
        </xsd:restriction>
      </xsd:simpleType>
    </xsd:element>
    <xsd:element name="TaxCatchAll" ma:index="23" nillable="true" ma:displayName="Taxonomy Catch All Column" ma:hidden="true" ma:list="{c498338a-4f16-43bb-80bf-f873077e62d1}" ma:internalName="TaxCatchAll" ma:showField="CatchAllData" ma:web="c102cb31-f5d5-4956-a0cb-1590ba36978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urinio tipas"/>
        <xsd:element ref="dc:title" minOccurs="0" maxOccurs="1" ma:index="4" ma:displayName="Antraštė"/>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haredWithUsers xmlns="c102cb31-f5d5-4956-a0cb-1590ba369788">
      <UserInfo>
        <DisplayName/>
        <AccountId xsi:nil="true"/>
        <AccountType/>
      </UserInfo>
    </SharedWithUsers>
    <lcf76f155ced4ddcb4097134ff3c332f xmlns="cef9cdfa-f4fd-4645-9be5-758c49499792">
      <Terms xmlns="http://schemas.microsoft.com/office/infopath/2007/PartnerControls"/>
    </lcf76f155ced4ddcb4097134ff3c332f>
    <TaxCatchAll xmlns="c102cb31-f5d5-4956-a0cb-1590ba369788"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98F08B-8DFE-4C12-BE40-2D604D44AB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ef9cdfa-f4fd-4645-9be5-758c49499792"/>
    <ds:schemaRef ds:uri="c102cb31-f5d5-4956-a0cb-1590ba36978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082EF8B-66EA-4F82-A307-9453EED8E315}">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cef9cdfa-f4fd-4645-9be5-758c49499792"/>
    <ds:schemaRef ds:uri="c102cb31-f5d5-4956-a0cb-1590ba369788"/>
    <ds:schemaRef ds:uri="http://www.w3.org/XML/1998/namespace"/>
    <ds:schemaRef ds:uri="http://purl.org/dc/dcmitype/"/>
  </ds:schemaRefs>
</ds:datastoreItem>
</file>

<file path=customXml/itemProps3.xml><?xml version="1.0" encoding="utf-8"?>
<ds:datastoreItem xmlns:ds="http://schemas.openxmlformats.org/officeDocument/2006/customXml" ds:itemID="{6780A987-4A38-4293-857B-392ED21F9808}">
  <ds:schemaRefs>
    <ds:schemaRef ds:uri="http://schemas.microsoft.com/sharepoint/v3/contenttype/forms"/>
  </ds:schemaRefs>
</ds:datastoreItem>
</file>

<file path=docMetadata/LabelInfo.xml><?xml version="1.0" encoding="utf-8"?>
<clbl:labelList xmlns:clbl="http://schemas.microsoft.com/office/2020/mipLabelMetadata">
  <clbl:label id="{c726ada4-eee0-43ea-be57-397a438ff30f}" enabled="1" method="Standard" siteId="{3ff45aa8-20e5-4053-a803-dbc4b63d971e}"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8</vt:i4>
      </vt:variant>
      <vt:variant>
        <vt:lpstr>Įvardytieji diapazonai</vt:lpstr>
      </vt:variant>
      <vt:variant>
        <vt:i4>1</vt:i4>
      </vt:variant>
    </vt:vector>
  </HeadingPairs>
  <TitlesOfParts>
    <vt:vector size="9" baseType="lpstr">
      <vt:lpstr>Content</vt:lpstr>
      <vt:lpstr>1. Summary</vt:lpstr>
      <vt:lpstr>2. Macro</vt:lpstr>
      <vt:lpstr>3. GGbudget</vt:lpstr>
      <vt:lpstr>4. SurplusGG</vt:lpstr>
      <vt:lpstr>5. GGexpenditure</vt:lpstr>
      <vt:lpstr>6. GGbudgets</vt:lpstr>
      <vt:lpstr>7. History</vt:lpstr>
      <vt:lpstr>eps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Milda Pieškutė</dc:creator>
  <cp:keywords/>
  <dc:description/>
  <cp:lastModifiedBy>Tomas Krenevičius</cp:lastModifiedBy>
  <cp:revision/>
  <dcterms:created xsi:type="dcterms:W3CDTF">2021-04-14T11:35:04Z</dcterms:created>
  <dcterms:modified xsi:type="dcterms:W3CDTF">2025-06-03T07:53:48Z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0x010100F745BF3751E471449C35EB2B2D21EAD1</vt:lpwstr>
  </property>
  <property fmtid="{D5CDD505-2E9C-101B-9397-08002B2CF9AE}" pid="3" name="ComplianceAssetId">
    <vt:lpwstr/>
  </property>
  <property fmtid="{D5CDD505-2E9C-101B-9397-08002B2CF9AE}" pid="4" name="_ExtendedDescription">
    <vt:lpwstr/>
  </property>
  <property fmtid="{D5CDD505-2E9C-101B-9397-08002B2CF9AE}" pid="5" name="Order">
    <vt:r8>15327300</vt:r8>
  </property>
  <property fmtid="{D5CDD505-2E9C-101B-9397-08002B2CF9AE}" pid="6" name="TriggerFlowInfo">
    <vt:lpwstr/>
  </property>
  <property fmtid="{D5CDD505-2E9C-101B-9397-08002B2CF9AE}" pid="7" name="MediaServiceImageTags">
    <vt:lpwstr/>
  </property>
</Properties>
</file>