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Šios_darbaknygės"/>
  <mc:AlternateContent xmlns:mc="http://schemas.openxmlformats.org/markup-compatibility/2006">
    <mc:Choice Requires="x15">
      <x15ac:absPath xmlns:x15ac="http://schemas.microsoft.com/office/spreadsheetml/2010/11/ac" url="https://vkontrolelt-my.sharepoint.com/personal/vbindoriute_vkontrole_lt/Documents/Darbalaukis/Tomui išsiųsti/"/>
    </mc:Choice>
  </mc:AlternateContent>
  <xr:revisionPtr revIDLastSave="929" documentId="13_ncr:1_{E3CD3895-5DE2-4B4C-ACB3-C2F9F77499C0}" xr6:coauthVersionLast="47" xr6:coauthVersionMax="47" xr10:uidLastSave="{A239008A-B75E-4E35-AC1E-87453F2DA659}"/>
  <bookViews>
    <workbookView xWindow="-108" yWindow="-108" windowWidth="23256" windowHeight="12456"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 name="7. History" sheetId="8" r:id="rId8"/>
  </sheets>
  <definedNames>
    <definedName name="eps">'2. Macro'!$D$47</definedName>
    <definedName name="Kalba">#REF!</definedName>
    <definedName name="metai">'3. GGbudget'!$F$5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8" l="1"/>
  <c r="W7" i="8"/>
  <c r="F24" i="4"/>
  <c r="F56" i="6" l="1"/>
  <c r="E21" i="4"/>
  <c r="H15" i="4"/>
  <c r="G15" i="4"/>
  <c r="H13" i="4"/>
  <c r="G13" i="4"/>
  <c r="F7" i="4"/>
  <c r="E7" i="4"/>
  <c r="I21" i="3"/>
  <c r="N21" i="3"/>
  <c r="E19" i="3"/>
  <c r="E20" i="3"/>
  <c r="E27" i="3"/>
  <c r="E28" i="3"/>
  <c r="M20" i="3"/>
  <c r="N20" i="3"/>
  <c r="F8" i="3"/>
  <c r="E5" i="3"/>
  <c r="D8" i="8"/>
  <c r="D7" i="8"/>
  <c r="U6" i="8" l="1"/>
  <c r="K19" i="3"/>
  <c r="F8" i="8" l="1"/>
  <c r="F7" i="8"/>
  <c r="H8" i="8"/>
  <c r="H7" i="8"/>
  <c r="K8" i="8" l="1"/>
  <c r="K7" i="8"/>
  <c r="N8" i="8"/>
  <c r="N7" i="8"/>
  <c r="Q8" i="8"/>
  <c r="Q7" i="8"/>
  <c r="T8" i="8"/>
  <c r="T7" i="8"/>
  <c r="G56" i="6" l="1"/>
  <c r="E31" i="5"/>
  <c r="H9" i="4" l="1"/>
  <c r="H11" i="4"/>
  <c r="G9" i="4"/>
  <c r="F52" i="6" l="1"/>
  <c r="E29" i="7"/>
  <c r="E28" i="7"/>
  <c r="F38" i="6"/>
  <c r="E27" i="5"/>
  <c r="H6" i="4"/>
  <c r="H12" i="4" s="1"/>
  <c r="G6" i="4"/>
  <c r="G16" i="4" s="1"/>
  <c r="E5" i="4"/>
  <c r="G5" i="4" s="1"/>
  <c r="B3" i="2"/>
  <c r="L35" i="3"/>
  <c r="M35" i="3"/>
  <c r="L34" i="3"/>
  <c r="M34" i="3"/>
  <c r="D17" i="3"/>
  <c r="K32" i="3"/>
  <c r="L32" i="3"/>
  <c r="M32" i="3"/>
  <c r="N27" i="3"/>
  <c r="O27" i="3"/>
  <c r="P27" i="3"/>
  <c r="Q27" i="3"/>
  <c r="Q29" i="3" s="1"/>
  <c r="L27" i="3"/>
  <c r="M27" i="3"/>
  <c r="M22" i="3"/>
  <c r="M24" i="3"/>
  <c r="M26" i="3"/>
  <c r="L20" i="3"/>
  <c r="L26" i="3" s="1"/>
  <c r="L19" i="3"/>
  <c r="L25" i="3" s="1"/>
  <c r="M19" i="3"/>
  <c r="F29" i="7" s="1"/>
  <c r="N19" i="3"/>
  <c r="L13" i="3"/>
  <c r="M13" i="3"/>
  <c r="L14" i="3"/>
  <c r="M14" i="3"/>
  <c r="N14" i="3"/>
  <c r="N13" i="3"/>
  <c r="L17" i="3"/>
  <c r="M17" i="3"/>
  <c r="L18" i="3"/>
  <c r="M18" i="3"/>
  <c r="N18" i="3"/>
  <c r="N17" i="3"/>
  <c r="L9" i="3"/>
  <c r="M9" i="3"/>
  <c r="N9" i="3"/>
  <c r="G8" i="3"/>
  <c r="H8" i="3"/>
  <c r="I8" i="3"/>
  <c r="J8" i="3"/>
  <c r="K8" i="3"/>
  <c r="L8" i="3"/>
  <c r="M8" i="3"/>
  <c r="M28" i="3" s="1"/>
  <c r="E8" i="3"/>
  <c r="L36" i="3" l="1"/>
  <c r="L23" i="3"/>
  <c r="L24" i="3"/>
  <c r="M21" i="3"/>
  <c r="L21" i="3"/>
  <c r="F31" i="5"/>
  <c r="M23" i="3"/>
  <c r="M25" i="3"/>
  <c r="L22" i="3"/>
  <c r="G52" i="6"/>
  <c r="P29" i="3"/>
  <c r="O29" i="3"/>
  <c r="N29" i="3"/>
  <c r="F6" i="4"/>
  <c r="F14" i="4" s="1"/>
  <c r="L10" i="3"/>
  <c r="L28" i="3"/>
  <c r="M30" i="3" s="1"/>
  <c r="M36" i="3"/>
  <c r="E6" i="4"/>
  <c r="E16" i="4" s="1"/>
  <c r="M10" i="3"/>
  <c r="M29" i="3"/>
  <c r="G14" i="4"/>
  <c r="F16" i="4"/>
  <c r="H16" i="4"/>
  <c r="H14" i="4"/>
  <c r="E22" i="7"/>
  <c r="F22" i="7" s="1"/>
  <c r="F6" i="7"/>
  <c r="E14" i="4" l="1"/>
  <c r="E12" i="4"/>
  <c r="D26" i="3"/>
  <c r="D38" i="3" s="1"/>
  <c r="F21" i="4" l="1"/>
  <c r="F34" i="3" l="1"/>
  <c r="G34" i="3"/>
  <c r="H34" i="3"/>
  <c r="I34" i="3"/>
  <c r="J34" i="3"/>
  <c r="K34" i="3"/>
  <c r="E34" i="3"/>
  <c r="O13" i="3" l="1"/>
  <c r="P13" i="3"/>
  <c r="Q13" i="3"/>
  <c r="Q14" i="3"/>
  <c r="O9" i="3"/>
  <c r="P9" i="3"/>
  <c r="Q9" i="3"/>
  <c r="K9" i="3"/>
  <c r="F5" i="3"/>
  <c r="G5" i="3" s="1"/>
  <c r="H5" i="3" s="1"/>
  <c r="I5" i="3" s="1"/>
  <c r="J5" i="3" s="1"/>
  <c r="K5" i="3" s="1"/>
  <c r="L5" i="3" s="1"/>
  <c r="M5" i="3" s="1"/>
  <c r="N28" i="3" l="1"/>
  <c r="N30" i="3" s="1"/>
  <c r="N10" i="3"/>
  <c r="Q10" i="3"/>
  <c r="Q28" i="3"/>
  <c r="P10" i="3"/>
  <c r="P28" i="3"/>
  <c r="O10" i="3"/>
  <c r="O28" i="3"/>
  <c r="Q5" i="3"/>
  <c r="O5" i="3"/>
  <c r="N5" i="3"/>
  <c r="P5" i="3"/>
  <c r="P14" i="3"/>
  <c r="O14" i="3"/>
  <c r="F7" i="6"/>
  <c r="F34" i="6" s="1"/>
  <c r="F6" i="6"/>
  <c r="G32" i="6" s="1"/>
  <c r="O30" i="3" l="1"/>
  <c r="P30" i="3"/>
  <c r="Q30" i="3"/>
  <c r="G34" i="6"/>
  <c r="F32" i="6"/>
  <c r="F39" i="6" l="1"/>
  <c r="F53" i="6" s="1"/>
  <c r="K36" i="3" l="1"/>
  <c r="F45" i="6" s="1"/>
  <c r="K35" i="3"/>
  <c r="G45" i="6" s="1"/>
  <c r="H29" i="4" l="1"/>
  <c r="G29" i="4"/>
  <c r="H7" i="4"/>
  <c r="H19" i="4"/>
  <c r="G19" i="4"/>
  <c r="H17" i="4"/>
  <c r="G17" i="4"/>
  <c r="H21" i="4" l="1"/>
  <c r="G21" i="4"/>
  <c r="F40" i="6" l="1"/>
  <c r="F54" i="6" s="1"/>
  <c r="F55" i="6" s="1"/>
  <c r="H23" i="4" l="1"/>
  <c r="G23" i="4"/>
  <c r="K20" i="3" l="1"/>
  <c r="F19" i="3"/>
  <c r="G19" i="3"/>
  <c r="H19" i="3"/>
  <c r="I19" i="3"/>
  <c r="J19" i="3"/>
  <c r="O18" i="3"/>
  <c r="O17" i="3"/>
  <c r="E23" i="7" l="1"/>
  <c r="G17" i="6"/>
  <c r="F17" i="6"/>
  <c r="G18" i="6" s="1"/>
  <c r="G19" i="6" l="1"/>
  <c r="F19" i="6"/>
  <c r="F18" i="6"/>
  <c r="K27" i="3"/>
  <c r="L29" i="3" s="1"/>
  <c r="G10" i="4"/>
  <c r="G28" i="4" l="1"/>
  <c r="G20" i="4"/>
  <c r="G18" i="4"/>
  <c r="G24" i="4"/>
  <c r="D19" i="3" l="1"/>
  <c r="F23" i="7" l="1"/>
  <c r="K13" i="3" l="1"/>
  <c r="P17" i="3" l="1"/>
  <c r="Q17" i="3"/>
  <c r="P18" i="3"/>
  <c r="Q18" i="3"/>
  <c r="K17" i="3"/>
  <c r="N22" i="3" l="1"/>
  <c r="F13" i="3"/>
  <c r="G13" i="3"/>
  <c r="H13" i="3"/>
  <c r="I13" i="3"/>
  <c r="J13" i="3"/>
  <c r="F10" i="3"/>
  <c r="G10" i="3"/>
  <c r="H10" i="3"/>
  <c r="I10" i="3"/>
  <c r="J10" i="3"/>
  <c r="K10" i="3"/>
  <c r="F9" i="3"/>
  <c r="G9" i="3"/>
  <c r="H9" i="3"/>
  <c r="I9" i="3"/>
  <c r="J9" i="3"/>
  <c r="N23" i="3" l="1"/>
  <c r="O20" i="3"/>
  <c r="O22" i="3" s="1"/>
  <c r="O19" i="3"/>
  <c r="O21" i="3" s="1"/>
  <c r="H18" i="4"/>
  <c r="H24" i="4"/>
  <c r="H20" i="4"/>
  <c r="H28" i="4"/>
  <c r="N25" i="3"/>
  <c r="N24" i="3"/>
  <c r="N26" i="3"/>
  <c r="H5" i="4"/>
  <c r="O24" i="3" l="1"/>
  <c r="O26" i="3"/>
  <c r="P19" i="3"/>
  <c r="P20" i="3"/>
  <c r="O23" i="3"/>
  <c r="O25" i="3"/>
  <c r="G17" i="3"/>
  <c r="P22" i="3" l="1"/>
  <c r="P24" i="3"/>
  <c r="P26" i="3"/>
  <c r="Q19" i="3"/>
  <c r="Q20" i="3"/>
  <c r="E14" i="7"/>
  <c r="E15" i="7"/>
  <c r="F14" i="7"/>
  <c r="F15" i="7"/>
  <c r="P21" i="3"/>
  <c r="P23" i="3"/>
  <c r="P25" i="3"/>
  <c r="K28" i="3"/>
  <c r="L30" i="3" s="1"/>
  <c r="K21" i="3"/>
  <c r="Q24" i="3" l="1"/>
  <c r="Q26" i="3"/>
  <c r="Q22" i="3"/>
  <c r="Q25" i="3"/>
  <c r="Q21" i="3"/>
  <c r="Q23" i="3"/>
  <c r="E7" i="5"/>
  <c r="C7" i="2" s="1"/>
  <c r="E6" i="5"/>
  <c r="C6" i="2" s="1"/>
  <c r="J20" i="3" l="1"/>
  <c r="J26" i="3" l="1"/>
  <c r="F43" i="6" l="1"/>
  <c r="D26" i="2" l="1"/>
  <c r="D25" i="2"/>
  <c r="C26" i="2"/>
  <c r="C25" i="2"/>
  <c r="D32" i="2"/>
  <c r="D31" i="2"/>
  <c r="C32" i="2"/>
  <c r="C31" i="2"/>
  <c r="E21" i="5" l="1"/>
  <c r="F23" i="5"/>
  <c r="E23" i="5"/>
  <c r="F21" i="5"/>
  <c r="F20" i="5"/>
  <c r="E20" i="5"/>
  <c r="D12" i="2" l="1"/>
  <c r="C12" i="2"/>
  <c r="E36" i="5"/>
  <c r="E39" i="5"/>
  <c r="E38" i="5"/>
  <c r="E37" i="5"/>
  <c r="F22" i="5"/>
  <c r="D11" i="2" s="1"/>
  <c r="E32" i="5"/>
  <c r="E30" i="5"/>
  <c r="F18" i="5" l="1"/>
  <c r="E18" i="5"/>
  <c r="E17" i="5"/>
  <c r="E19" i="5" s="1"/>
  <c r="F17" i="5"/>
  <c r="F19" i="5" s="1"/>
  <c r="E40" i="5"/>
  <c r="D9" i="2"/>
  <c r="C10" i="2" l="1"/>
  <c r="D10" i="2"/>
  <c r="E22" i="5"/>
  <c r="C11" i="2" s="1"/>
  <c r="C9" i="2"/>
  <c r="F44" i="6" l="1"/>
  <c r="G20" i="6" l="1"/>
  <c r="G21" i="6" s="1"/>
  <c r="G22" i="6" l="1"/>
  <c r="G68" i="6"/>
  <c r="I68" i="6" s="1"/>
  <c r="F67" i="6" l="1"/>
  <c r="H67" i="6" s="1"/>
  <c r="G43" i="6" l="1"/>
  <c r="G44" i="6"/>
  <c r="G7" i="4"/>
  <c r="G8" i="4" s="1"/>
  <c r="G30" i="4" s="1"/>
  <c r="G11" i="4"/>
  <c r="G12" i="4" s="1"/>
  <c r="G32" i="4" s="1"/>
  <c r="H32" i="4" l="1"/>
  <c r="F32" i="7" s="1"/>
  <c r="H22" i="4"/>
  <c r="G40" i="6"/>
  <c r="G54" i="6" s="1"/>
  <c r="H10" i="4"/>
  <c r="J36" i="3"/>
  <c r="I36" i="3"/>
  <c r="H36" i="3"/>
  <c r="G36" i="3"/>
  <c r="F36" i="3"/>
  <c r="E36" i="3"/>
  <c r="J35" i="3"/>
  <c r="I35" i="3"/>
  <c r="H35" i="3"/>
  <c r="G35" i="3"/>
  <c r="F35" i="3"/>
  <c r="E35" i="3"/>
  <c r="J32" i="3"/>
  <c r="I32" i="3"/>
  <c r="H32" i="3"/>
  <c r="G32" i="3"/>
  <c r="F32" i="3"/>
  <c r="D30" i="3"/>
  <c r="D29" i="3"/>
  <c r="J28" i="3"/>
  <c r="K30" i="3" s="1"/>
  <c r="I28" i="3"/>
  <c r="H28" i="3"/>
  <c r="G28" i="3"/>
  <c r="F28" i="3"/>
  <c r="D28" i="3"/>
  <c r="J27" i="3"/>
  <c r="K29" i="3" s="1"/>
  <c r="I27" i="3"/>
  <c r="H27" i="3"/>
  <c r="G27" i="3"/>
  <c r="F27" i="3"/>
  <c r="D27" i="3"/>
  <c r="D39" i="3"/>
  <c r="D25" i="3"/>
  <c r="D24" i="3"/>
  <c r="D23" i="3"/>
  <c r="D22" i="3"/>
  <c r="D21" i="3"/>
  <c r="I20" i="3"/>
  <c r="I26" i="3" s="1"/>
  <c r="H20" i="3"/>
  <c r="G20" i="3"/>
  <c r="F20" i="3"/>
  <c r="D20" i="3"/>
  <c r="K25" i="3"/>
  <c r="I23" i="3"/>
  <c r="K18" i="3"/>
  <c r="J18" i="3"/>
  <c r="I18" i="3"/>
  <c r="H18" i="3"/>
  <c r="G18" i="3"/>
  <c r="F18" i="3"/>
  <c r="D18" i="3"/>
  <c r="J17" i="3"/>
  <c r="I17" i="3"/>
  <c r="H17" i="3"/>
  <c r="F17" i="3"/>
  <c r="K14" i="3"/>
  <c r="J14" i="3"/>
  <c r="I14" i="3"/>
  <c r="H14" i="3"/>
  <c r="G14" i="3"/>
  <c r="F14" i="3"/>
  <c r="D13" i="3"/>
  <c r="D11" i="3"/>
  <c r="D10" i="3"/>
  <c r="D9" i="3"/>
  <c r="F9" i="7" l="1"/>
  <c r="F10" i="7"/>
  <c r="D31" i="3"/>
  <c r="D32" i="3" s="1"/>
  <c r="D12" i="3"/>
  <c r="D14" i="3" s="1"/>
  <c r="D36" i="3"/>
  <c r="G8" i="6"/>
  <c r="G9" i="6" s="1"/>
  <c r="F8" i="6"/>
  <c r="F9" i="6" s="1"/>
  <c r="F14" i="6"/>
  <c r="F15" i="6" s="1"/>
  <c r="G39" i="6"/>
  <c r="G53" i="6" s="1"/>
  <c r="G67" i="6"/>
  <c r="I67" i="6" s="1"/>
  <c r="G14" i="6"/>
  <c r="I29" i="3"/>
  <c r="H30" i="3"/>
  <c r="G46" i="6"/>
  <c r="F46" i="6"/>
  <c r="J21" i="3"/>
  <c r="J23" i="3"/>
  <c r="K26" i="3"/>
  <c r="K24" i="3"/>
  <c r="K22" i="3"/>
  <c r="G29" i="3"/>
  <c r="F30" i="3"/>
  <c r="J30" i="3"/>
  <c r="G26" i="4"/>
  <c r="G31" i="4" s="1"/>
  <c r="H26" i="4"/>
  <c r="H31" i="4" s="1"/>
  <c r="G22" i="4"/>
  <c r="F29" i="3"/>
  <c r="I30" i="3"/>
  <c r="J29" i="3"/>
  <c r="H29" i="3"/>
  <c r="G30" i="3"/>
  <c r="I22" i="3"/>
  <c r="K23" i="3"/>
  <c r="I24" i="3"/>
  <c r="I25" i="3"/>
  <c r="J22" i="3"/>
  <c r="J24" i="3"/>
  <c r="J25" i="3"/>
  <c r="D33" i="3" l="1"/>
  <c r="F16" i="6"/>
  <c r="F31" i="7"/>
  <c r="G55" i="6"/>
  <c r="F29" i="5"/>
  <c r="G15" i="6"/>
  <c r="F66" i="6"/>
  <c r="H66" i="6" s="1"/>
  <c r="F30" i="7"/>
  <c r="G66" i="6"/>
  <c r="I66" i="6" s="1"/>
  <c r="G16" i="6"/>
  <c r="F20" i="6"/>
  <c r="F21" i="6" s="1"/>
  <c r="F64" i="6"/>
  <c r="F10" i="6"/>
  <c r="G64" i="6"/>
  <c r="G10" i="6"/>
  <c r="E16" i="7"/>
  <c r="F16" i="7"/>
  <c r="D34" i="3" l="1"/>
  <c r="D35" i="3"/>
  <c r="F18" i="7"/>
  <c r="F17" i="7"/>
  <c r="F19" i="7" s="1"/>
  <c r="F12" i="7"/>
  <c r="I64" i="6"/>
  <c r="H64" i="6"/>
  <c r="F22" i="6"/>
  <c r="F68" i="6"/>
  <c r="H68" i="6" s="1"/>
  <c r="F11" i="7" l="1"/>
  <c r="F20" i="7"/>
  <c r="D29" i="2" s="1"/>
  <c r="F13" i="7"/>
  <c r="D28" i="2" s="1"/>
  <c r="D27" i="2"/>
  <c r="F21" i="7" l="1"/>
  <c r="D30" i="2" s="1"/>
  <c r="C19" i="2"/>
  <c r="C21" i="2"/>
  <c r="D21" i="2"/>
  <c r="D19" i="2" l="1"/>
  <c r="E24" i="4" l="1"/>
  <c r="F8" i="4" l="1"/>
  <c r="E20" i="4"/>
  <c r="E18" i="4"/>
  <c r="E22" i="4"/>
  <c r="E26" i="4"/>
  <c r="E28" i="4"/>
  <c r="E32" i="4" s="1"/>
  <c r="E10" i="4"/>
  <c r="E31" i="4" s="1"/>
  <c r="E8" i="4"/>
  <c r="E30" i="4" l="1"/>
  <c r="E29" i="5" s="1"/>
  <c r="E31" i="7"/>
  <c r="F22" i="4"/>
  <c r="F18" i="4"/>
  <c r="F30" i="4"/>
  <c r="F28" i="4"/>
  <c r="F10" i="4"/>
  <c r="F20" i="4"/>
  <c r="F12" i="4"/>
  <c r="F26" i="4"/>
  <c r="H8" i="4"/>
  <c r="H30" i="4" s="1"/>
  <c r="F31" i="4" l="1"/>
  <c r="E30" i="7" s="1"/>
  <c r="F32" i="4"/>
  <c r="E32" i="7" s="1"/>
  <c r="F28" i="5"/>
  <c r="F9" i="5" s="1"/>
  <c r="G11" i="6"/>
  <c r="G12" i="6" s="1"/>
  <c r="E28" i="5"/>
  <c r="E9" i="5" s="1"/>
  <c r="F11" i="6"/>
  <c r="F12" i="6" s="1"/>
  <c r="E10" i="7" l="1"/>
  <c r="E9" i="7"/>
  <c r="E12" i="7" s="1"/>
  <c r="E18" i="7"/>
  <c r="E17" i="7"/>
  <c r="F13" i="6"/>
  <c r="F65" i="6"/>
  <c r="F23" i="6"/>
  <c r="G65" i="6"/>
  <c r="I65" i="6" s="1"/>
  <c r="G13" i="6"/>
  <c r="G23" i="6"/>
  <c r="E14" i="5"/>
  <c r="E16" i="5" s="1"/>
  <c r="E11" i="5"/>
  <c r="E13" i="5" s="1"/>
  <c r="E12" i="5"/>
  <c r="E8" i="5"/>
  <c r="E10" i="5" s="1"/>
  <c r="E15" i="5"/>
  <c r="F8" i="5"/>
  <c r="F10" i="5" s="1"/>
  <c r="F14" i="5"/>
  <c r="F16" i="5" s="1"/>
  <c r="F12" i="5"/>
  <c r="F15" i="5"/>
  <c r="F11" i="5"/>
  <c r="F13" i="5" s="1"/>
  <c r="E11" i="7" l="1"/>
  <c r="G25" i="6"/>
  <c r="D14" i="2"/>
  <c r="G28" i="6"/>
  <c r="G29" i="6" s="1"/>
  <c r="H65" i="6"/>
  <c r="F69" i="6"/>
  <c r="G69" i="6"/>
  <c r="G24" i="6" s="1"/>
  <c r="D15" i="2" s="1"/>
  <c r="E19" i="7"/>
  <c r="E20" i="7"/>
  <c r="E13" i="7"/>
  <c r="C28" i="2" s="1"/>
  <c r="C27" i="2"/>
  <c r="F28" i="6"/>
  <c r="F31" i="6" s="1"/>
  <c r="F25" i="6"/>
  <c r="C14" i="2"/>
  <c r="F29" i="6"/>
  <c r="F24" i="6" l="1"/>
  <c r="C15" i="2" s="1"/>
  <c r="E21" i="7"/>
  <c r="C30" i="2" s="1"/>
  <c r="C29" i="2"/>
  <c r="C18" i="2"/>
  <c r="C22" i="2"/>
  <c r="F33" i="6"/>
  <c r="G26" i="6"/>
  <c r="D17" i="2" s="1"/>
  <c r="D16" i="2"/>
  <c r="G30" i="6"/>
  <c r="C16" i="2"/>
  <c r="F26" i="6"/>
  <c r="C17" i="2" s="1"/>
  <c r="F30" i="6"/>
  <c r="G31" i="6"/>
  <c r="D18" i="2" l="1"/>
  <c r="G33" i="6"/>
  <c r="D22" i="2"/>
  <c r="C23" i="2"/>
  <c r="C20" i="2"/>
  <c r="D23" i="2" l="1"/>
  <c r="D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<sst xmlns="http://schemas.openxmlformats.org/spreadsheetml/2006/main" count="484" uniqueCount="342">
  <si>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</si>
  <si>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</si>
  <si>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</si>
  <si>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</si>
  <si>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</si>
  <si>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</si>
  <si>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</si>
  <si>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</si>
  <si>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</si>
  <si>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</si>
  <si>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</si>
  <si>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</si>
  <si>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</si>
  <si>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</si>
  <si>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</si>
  <si>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</si>
  <si>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</si>
  <si>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</si>
  <si>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</si>
  <si>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</si>
  <si>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</si>
  <si>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</si>
  <si>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</si>
  <si>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</si>
  <si>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</si>
  <si>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</si>
  <si>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</si>
  <si>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</si>
  <si>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</si>
  <si>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</si>
  <si>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</si>
  <si>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</si>
  <si>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</si>
  <si>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</si>
  <si>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</si>
  <si>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</si>
  <si>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</si>
  <si>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</si>
  <si>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</si>
  <si>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</si>
  <si>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</si>
  <si>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</si>
  <si>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</si>
  <si>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</si>
  <si>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</si>
  <si>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</si>
  <si>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</si>
  <si>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</si>
  <si>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</si>
  <si>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</si>
  <si>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</si>
  <si>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</si>
  <si>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</si>
  <si>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</si>
  <si>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</si>
  <si>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</si>
  <si>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</si>
  <si>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</si>
  <si>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</si>
  <si>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</si>
  <si>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</si>
  <si>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</si>
  <si>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</si>
  <si>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</si>
  <si>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</si>
  <si>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</si>
  <si>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</si>
  <si>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</si>
  <si>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</si>
  <si>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</si>
  <si>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</si>
  <si>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</si>
  <si>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</si>
  <si>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</si>
  <si>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</si>
  <si>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</si>
  <si>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</si>
  <si>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</si>
  <si>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</si>
  <si>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</si>
  <si>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</si>
  <si>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</si>
  <si>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</si>
  <si>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</si>
  <si>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</si>
  <si>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</si>
  <si>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</si>
  <si>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</si>
  <si>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</si>
  <si>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</si>
  <si>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</si>
  <si>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</si>
  <si>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</si>
  <si>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</si>
  <si>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</si>
  <si>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</si>
  <si>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</si>
  <si>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</si>
  <si>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</si>
  <si>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</si>
  <si>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</si>
  <si>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</si>
  <si>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</si>
  <si>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Finansų ministerija (FM)</t>
  </si>
  <si>
    <t>Valstybės kontrolės, vykdančios fiskalinės institucijos funkcijas, skaičiavimai</t>
  </si>
  <si>
    <t>National Audit Office of Lithuania, implementing the functions of the fiscal institution, calculations</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</si>
  <si>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</si>
  <si>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</si>
  <si>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</si>
  <si>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</si>
  <si>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</si>
  <si>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</si>
  <si>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</si>
  <si>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</si>
  <si>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</si>
  <si>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</si>
  <si>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</si>
  <si>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</si>
  <si>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</si>
  <si>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</si>
  <si>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</si>
  <si>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</si>
  <si>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</si>
  <si>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</si>
  <si>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</si>
  <si>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</si>
  <si>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</si>
  <si>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</si>
  <si>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</si>
  <si>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</si>
  <si>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</si>
  <si>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</si>
  <si>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</si>
  <si>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</si>
  <si>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</si>
  <si>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</si>
  <si>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</si>
  <si>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</si>
  <si>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</si>
  <si>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</si>
  <si>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</si>
  <si>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</si>
  <si>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</si>
  <si>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</si>
  <si>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</si>
  <si>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</si>
  <si>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</si>
  <si>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</si>
  <si>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</si>
  <si>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</si>
  <si>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</si>
  <si>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</si>
  <si>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</si>
  <si>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</si>
  <si>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</si>
  <si>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</si>
  <si>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</si>
  <si>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</si>
  <si>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t>VS yra faktiškai perteklinis t metais pagal struktūrinį balansą</t>
  </si>
  <si>
    <t>SB(t) &gt; 0*</t>
  </si>
  <si>
    <t xml:space="preserve">In terms of structural balance GG sector is actually in surplus   </t>
  </si>
  <si>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</si>
  <si>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</si>
  <si>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</si>
  <si>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</si>
  <si>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</si>
  <si>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</si>
  <si>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</si>
  <si>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</si>
  <si>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</si>
  <si>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</si>
  <si>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</si>
  <si>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</si>
  <si>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</si>
  <si>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</si>
  <si>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</si>
  <si>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</si>
  <si>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</si>
  <si>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</si>
  <si>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</si>
  <si>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</si>
  <si>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</si>
  <si>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</si>
  <si>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</si>
  <si>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</si>
  <si>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</si>
  <si>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</si>
  <si>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</si>
  <si>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</si>
  <si>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</si>
  <si>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</si>
  <si>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</si>
  <si>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</si>
  <si>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</si>
  <si>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t>Numatomas VS balanso rodiklio postūmis yra teigiamas ir sudaro bent 1,0 procentinį punktą BVP</t>
  </si>
  <si>
    <t>Projected GG sector balance indicator adjustment is positive and makes up at least 1.0 percentage point of GDP</t>
  </si>
  <si>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</si>
  <si>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</si>
  <si>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</si>
  <si>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</si>
  <si>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</si>
  <si>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</si>
  <si>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</si>
  <si>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</si>
  <si>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t>at year t the GG expenditure growth limiting rule is not applied when at least one of the  A1–A5 escape clauses emerges</t>
  </si>
  <si>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</si>
  <si>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</si>
  <si>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</si>
  <si>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</si>
  <si>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</si>
  <si>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</si>
  <si>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</si>
  <si>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</si>
  <si>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</si>
  <si>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</si>
  <si>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</si>
  <si>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</si>
  <si>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</si>
  <si>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</si>
  <si>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</si>
  <si>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</si>
  <si>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</si>
  <si>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</si>
  <si>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</si>
  <si>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</si>
  <si>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</si>
  <si>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</si>
  <si>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</si>
  <si>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</si>
  <si>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</si>
  <si>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</si>
  <si>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</si>
  <si>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</si>
  <si>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</si>
  <si>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</si>
  <si>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</si>
  <si>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</si>
  <si>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</si>
  <si>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</si>
  <si>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</si>
  <si>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</si>
  <si>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</si>
  <si>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</si>
  <si>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</si>
  <si>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</si>
  <si>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</si>
  <si>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</si>
  <si>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</si>
  <si>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</si>
  <si>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</si>
  <si>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</si>
  <si>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</si>
  <si>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</si>
  <si>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</si>
  <si>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</si>
  <si>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</si>
  <si>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</si>
  <si>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</si>
  <si>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</si>
  <si>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t>Nuo 2018 m. sausio 1 d. PSDF biudžetas turi būti planuojamas, tvirtinamas, keičiamas ir vykdomas taip, kad, sprendžiant pagal to biudžeto struktūrinį balanso rodiklį, apskaičiuotą kaupiamuoju principu, jis būtų perteklinis arba subalansuotas</t>
  </si>
  <si>
    <t>t−8</t>
  </si>
  <si>
    <t>t−7</t>
  </si>
  <si>
    <t>t−6</t>
  </si>
  <si>
    <t>t−5</t>
  </si>
  <si>
    <t>t−4</t>
  </si>
  <si>
    <t>t−3</t>
  </si>
  <si>
    <t>* inequality sign is strict, if a difference between both compared sides after rounding is at least 0.1,  else the sign is interpreted as =
** the adjusted aggregate balances of the GG budgets</t>
  </si>
  <si>
    <t>B3(t) ≥ B3**(t)</t>
  </si>
  <si>
    <t>B3**(t) =</t>
  </si>
  <si>
    <t>B3(t) =</t>
  </si>
  <si>
    <t>B(t) − B(t–1) ≥ 1</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</si>
  <si>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theme="7" tint="-0.499984740745262"/>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</si>
  <si>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theme="7" tint="-0.499984740745262"/>
        <rFont val="Arial"/>
        <family val="2"/>
        <charset val="186"/>
      </rPr>
      <t xml:space="preserve"> </t>
    </r>
    <r>
      <rPr>
        <sz val="12"/>
        <color theme="7" tint="-0.499984740745262"/>
        <rFont val="Arial"/>
        <family val="2"/>
        <charset val="186"/>
      </rPr>
      <t>SUMMARY</t>
    </r>
  </si>
  <si>
    <r>
      <t xml:space="preserve">5. Perteklinio VS taisyklės sąlygos
</t>
    </r>
    <r>
      <rPr>
        <b/>
        <i/>
        <sz val="11"/>
        <color theme="7" tint="-0.499984740745262"/>
        <rFont val="Arial"/>
        <family val="2"/>
        <charset val="186"/>
      </rPr>
      <t>Conditions of the surplus GG sector rule</t>
    </r>
  </si>
  <si>
    <r>
      <t xml:space="preserve">6. VS išlaidų augimo ribojimo taisyklė
</t>
    </r>
    <r>
      <rPr>
        <b/>
        <i/>
        <sz val="11"/>
        <color theme="7" tint="-0.499984740745262"/>
        <rFont val="Arial"/>
        <family val="2"/>
        <charset val="186"/>
      </rPr>
      <t>GG expenditure growth limiting rule</t>
    </r>
  </si>
  <si>
    <r>
      <t xml:space="preserve">7. VS priskiriamų biudžetų taisyklės
</t>
    </r>
    <r>
      <rPr>
        <b/>
        <i/>
        <sz val="11"/>
        <color theme="7" tint="-0.499984740745262"/>
        <rFont val="Arial"/>
        <family val="2"/>
        <charset val="186"/>
      </rPr>
      <t>Rules for the budgets attributable to GG sector</t>
    </r>
  </si>
  <si>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</si>
  <si>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</si>
  <si>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</si>
  <si>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</si>
  <si>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</si>
  <si>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</si>
  <si>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r>
      <t xml:space="preserve">Taisyklė savivaldybių (j) asignavimams, kurie viršija 0,3 proc. BVP
</t>
    </r>
    <r>
      <rPr>
        <b/>
        <i/>
        <sz val="11"/>
        <color theme="7" tint="-0.499984740745262"/>
        <rFont val="Arial"/>
        <family val="2"/>
        <charset val="186"/>
      </rPr>
      <t>Rule for local governments (j) appropriations of which exceed 0.3 % of GDP</t>
    </r>
  </si>
  <si>
    <r>
      <t>T</t>
    </r>
    <r>
      <rPr>
        <vertAlign val="subscript"/>
        <sz val="11"/>
        <color theme="7" tint="-0.499984740745262"/>
        <rFont val="Arial"/>
        <family val="2"/>
        <charset val="186"/>
      </rPr>
      <t>31</t>
    </r>
  </si>
  <si>
    <r>
      <t>T</t>
    </r>
    <r>
      <rPr>
        <vertAlign val="subscript"/>
        <sz val="11"/>
        <color theme="7" tint="-0.499984740745262"/>
        <rFont val="Arial"/>
        <family val="2"/>
        <charset val="186"/>
      </rPr>
      <t>32</t>
    </r>
  </si>
  <si>
    <r>
      <t>T</t>
    </r>
    <r>
      <rPr>
        <vertAlign val="subscript"/>
        <sz val="11"/>
        <color theme="7" tint="-0.499984740745262"/>
        <rFont val="Arial"/>
        <family val="2"/>
        <charset val="186"/>
      </rPr>
      <t>4</t>
    </r>
  </si>
  <si>
    <r>
      <t>T</t>
    </r>
    <r>
      <rPr>
        <vertAlign val="subscript"/>
        <sz val="11"/>
        <color theme="7" tint="-0.499984740745262"/>
        <rFont val="Arial"/>
        <family val="2"/>
        <charset val="186"/>
      </rPr>
      <t>5</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</si>
  <si>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</si>
  <si>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</si>
  <si>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</si>
  <si>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</si>
  <si>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rPr>
        <sz val="11"/>
        <color theme="7" tint="-0.499984740745262"/>
        <rFont val="Arial"/>
        <family val="2"/>
        <charset val="186"/>
      </rPr>
      <t>A</t>
    </r>
    <r>
      <rPr>
        <vertAlign val="subscript"/>
        <sz val="11"/>
        <color theme="7" tint="-0.499984740745262"/>
        <rFont val="Arial"/>
        <family val="2"/>
        <charset val="186"/>
      </rPr>
      <t>1</t>
    </r>
  </si>
  <si>
    <r>
      <rPr>
        <sz val="11"/>
        <color theme="7" tint="-0.499984740745262"/>
        <rFont val="Arial"/>
        <family val="2"/>
        <charset val="186"/>
      </rPr>
      <t>A</t>
    </r>
    <r>
      <rPr>
        <vertAlign val="subscript"/>
        <sz val="11"/>
        <color theme="7" tint="-0.499984740745262"/>
        <rFont val="Arial"/>
        <family val="2"/>
        <charset val="186"/>
      </rPr>
      <t>2</t>
    </r>
  </si>
  <si>
    <r>
      <rPr>
        <sz val="11"/>
        <color theme="7" tint="-0.499984740745262"/>
        <rFont val="Arial"/>
        <family val="2"/>
        <charset val="186"/>
      </rPr>
      <t>A</t>
    </r>
    <r>
      <rPr>
        <vertAlign val="subscript"/>
        <sz val="11"/>
        <color theme="7" tint="-0.499984740745262"/>
        <rFont val="Arial"/>
        <family val="2"/>
        <charset val="186"/>
      </rPr>
      <t>3</t>
    </r>
  </si>
  <si>
    <r>
      <rPr>
        <sz val="11"/>
        <color theme="7" tint="-0.499984740745262"/>
        <rFont val="Arial"/>
        <family val="2"/>
        <charset val="186"/>
      </rPr>
      <t>A</t>
    </r>
    <r>
      <rPr>
        <vertAlign val="subscript"/>
        <sz val="11"/>
        <color theme="7" tint="-0.499984740745262"/>
        <rFont val="Arial"/>
        <family val="2"/>
        <charset val="186"/>
      </rPr>
      <t>4</t>
    </r>
  </si>
  <si>
    <r>
      <rPr>
        <sz val="11"/>
        <color theme="7" tint="-0.499984740745262"/>
        <rFont val="Arial"/>
        <family val="2"/>
        <charset val="186"/>
      </rPr>
      <t>A</t>
    </r>
    <r>
      <rPr>
        <vertAlign val="subscript"/>
        <sz val="11"/>
        <color theme="7" tint="-0.499984740745262"/>
        <rFont val="Arial"/>
        <family val="2"/>
        <charset val="186"/>
      </rPr>
      <t>5</t>
    </r>
  </si>
  <si>
    <r>
      <t>T</t>
    </r>
    <r>
      <rPr>
        <vertAlign val="subscript"/>
        <sz val="11"/>
        <color theme="7" tint="-0.499984740745262"/>
        <rFont val="Arial"/>
        <family val="2"/>
        <charset val="186"/>
      </rPr>
      <t>1</t>
    </r>
  </si>
  <si>
    <r>
      <t>S</t>
    </r>
    <r>
      <rPr>
        <vertAlign val="subscript"/>
        <sz val="11"/>
        <color theme="7" tint="-0.499984740745262"/>
        <rFont val="Arial"/>
        <family val="2"/>
        <charset val="186"/>
      </rPr>
      <t>1</t>
    </r>
  </si>
  <si>
    <r>
      <t>S</t>
    </r>
    <r>
      <rPr>
        <vertAlign val="subscript"/>
        <sz val="11"/>
        <color theme="7" tint="-0.499984740745262"/>
        <rFont val="Arial"/>
        <family val="2"/>
        <charset val="186"/>
      </rPr>
      <t>2</t>
    </r>
    <r>
      <rPr>
        <sz val="11"/>
        <color theme="1"/>
        <rFont val="Calibri"/>
        <family val="2"/>
        <charset val="186"/>
        <scheme val="minor"/>
      </rPr>
      <t/>
    </r>
  </si>
  <si>
    <r>
      <t>S</t>
    </r>
    <r>
      <rPr>
        <vertAlign val="subscript"/>
        <sz val="11"/>
        <color theme="7" tint="-0.499984740745262"/>
        <rFont val="Arial"/>
        <family val="2"/>
        <charset val="186"/>
      </rPr>
      <t>3</t>
    </r>
    <r>
      <rPr>
        <sz val="11"/>
        <color theme="1"/>
        <rFont val="Calibri"/>
        <family val="2"/>
        <charset val="186"/>
        <scheme val="minor"/>
      </rPr>
      <t/>
    </r>
  </si>
  <si>
    <r>
      <t>S</t>
    </r>
    <r>
      <rPr>
        <vertAlign val="subscript"/>
        <sz val="11"/>
        <color theme="7" tint="-0.499984740745262"/>
        <rFont val="Arial"/>
        <family val="2"/>
        <charset val="186"/>
      </rPr>
      <t>4</t>
    </r>
    <r>
      <rPr>
        <sz val="11"/>
        <color theme="1"/>
        <rFont val="Calibri"/>
        <family val="2"/>
        <charset val="186"/>
        <scheme val="minor"/>
      </rPr>
      <t/>
    </r>
  </si>
  <si>
    <t>t+3</t>
  </si>
  <si>
    <t>t+4</t>
  </si>
  <si>
    <t>3. ISTORINIS TAISYKLIŲ LAIKYMASIS / HISTORICAL ADHERENCE TO RULES</t>
  </si>
  <si>
    <t>7. Istorinis taisyklių laikymasis / Historical adherence to fiscal rules</t>
  </si>
  <si>
    <r>
      <t xml:space="preserve">7. Istorinis taisyklių laikymasis
</t>
    </r>
    <r>
      <rPr>
        <b/>
        <i/>
        <sz val="11"/>
        <color theme="7" tint="-0.499984740745262"/>
        <rFont val="Arial"/>
        <family val="2"/>
        <charset val="186"/>
      </rPr>
      <t>Historical adherence to fiscal rules</t>
    </r>
    <r>
      <rPr>
        <b/>
        <sz val="11"/>
        <color theme="7" tint="-0.499984740745262"/>
        <rFont val="Arial"/>
        <family val="2"/>
        <charset val="186"/>
      </rPr>
      <t xml:space="preserve">
</t>
    </r>
  </si>
  <si>
    <r>
      <t xml:space="preserve">Taisyklė
</t>
    </r>
    <r>
      <rPr>
        <i/>
        <sz val="11"/>
        <color rgb="FF000000"/>
        <rFont val="Arial"/>
        <family val="2"/>
        <charset val="186"/>
      </rPr>
      <t>Rule</t>
    </r>
  </si>
  <si>
    <t>ex-ante</t>
  </si>
  <si>
    <t>interim</t>
  </si>
  <si>
    <t>ex-post</t>
  </si>
  <si>
    <t>IFI</t>
  </si>
  <si>
    <t>Surplus GG sector rule</t>
  </si>
  <si>
    <t>GG expenditure growth limiting rule</t>
  </si>
  <si>
    <t>Atotrūkis nuo potencialo, proc. pot. BVP</t>
  </si>
  <si>
    <t>Output gap (OG), % pot. GDP</t>
  </si>
  <si>
    <t>VS išlaidų augimo ribojimo taisyklė</t>
  </si>
  <si>
    <t>Perteklinio VS taisyklė</t>
  </si>
  <si>
    <t>taisyklės laikėsi</t>
  </si>
  <si>
    <t>taisyklės nesilaikė</t>
  </si>
  <si>
    <t>taisyklė netaikoma</t>
  </si>
  <si>
    <t>the rule was adhered to</t>
  </si>
  <si>
    <t>the rule was not adhered to</t>
  </si>
  <si>
    <t>the rule was not applicable</t>
  </si>
  <si>
    <t xml:space="preserve">interim </t>
  </si>
  <si>
    <t xml:space="preserve">ex-post </t>
  </si>
  <si>
    <t xml:space="preserve">ex-ante </t>
  </si>
  <si>
    <t>nevertinama</t>
  </si>
  <si>
    <t>–</t>
  </si>
  <si>
    <t>the rule is not assessed</t>
  </si>
  <si>
    <r>
      <t xml:space="preserve">Institucija
</t>
    </r>
    <r>
      <rPr>
        <i/>
        <sz val="10"/>
        <color rgb="FF000000"/>
        <rFont val="Arial"/>
        <family val="2"/>
        <charset val="186"/>
      </rPr>
      <t>Institution</t>
    </r>
  </si>
  <si>
    <t>Vertinimo data
Date of asessment</t>
  </si>
  <si>
    <t>2024 m. pavasario ERS</t>
  </si>
  <si>
    <t>2023 m. žiemos ERS</t>
  </si>
  <si>
    <t>2023 m. rudens EK projekcijos</t>
  </si>
  <si>
    <t>2023 m. pavasario EK projekcijos</t>
  </si>
  <si>
    <t>2023K1-2023K4</t>
  </si>
  <si>
    <r>
      <rPr>
        <sz val="11"/>
        <rFont val="Arial"/>
        <family val="2"/>
        <charset val="186"/>
      </rPr>
      <t xml:space="preserve">Projekcijos </t>
    </r>
    <r>
      <rPr>
        <i/>
        <sz val="11"/>
        <rFont val="Arial"/>
        <family val="2"/>
        <charset val="186"/>
      </rPr>
      <t xml:space="preserve">/ </t>
    </r>
    <r>
      <rPr>
        <sz val="11"/>
        <rFont val="Arial"/>
        <family val="2"/>
        <charset val="186"/>
      </rPr>
      <t>Projections</t>
    </r>
  </si>
  <si>
    <t>2024 pavasario ERS duomenys</t>
  </si>
  <si>
    <t>Savivaldybių biudžetų atitiktis fiskalinės drausmės taisyklėms bus vertinama 2024 m. birželio mėn.</t>
  </si>
  <si>
    <t>Will be assessed in June 2024</t>
  </si>
  <si>
    <t>2024-05-22 VRE-2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</si>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</sst>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0.0"/>
    <numFmt numFmtId="165" formatCode="yyyy\-mm\-dd;@"/>
    <numFmt numFmtId="166" formatCode="0.0"/>
    <numFmt numFmtId="167" formatCode="0.00;\ \–0.00"/>
    <numFmt numFmtId="168" formatCode="0.000;\ \–0.000"/>
    <numFmt numFmtId="169" formatCode="0.000"/>
    <numFmt numFmtId="170" formatCode="0\,0;\–0\,0"/>
    <numFmt numFmtId="171" formatCode="0.00000"/>
    <numFmt numFmtId="172" formatCode="0.0;\–0.0"/>
    <numFmt numFmtId="173" formatCode="_-* #,##0.00\ _€_-;\-* #,##0.00\ _€_-;_-* &quot;-&quot;??\ _€_-;_-@_-"/>
    <numFmt numFmtId="174" formatCode="_-* #,##0.00\ _L_t_-;\-* #,##0.00\ _L_t_-;_-* &quot;-&quot;??\ _L_t_-;_-@_-"/>
  </numFmts>
  <fonts count="94">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8"/>
      <color rgb="FF00000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
      <sz val="8"/>
      <name val="Calibri"/>
      <family val="2"/>
      <charset val="186"/>
      <scheme val="minor"/>
    </font>
    <font>
      <i/>
      <sz val="10"/>
      <color theme="9" tint="-0.499984740745262"/>
      <name val="Arial"/>
      <family val="2"/>
      <charset val="186"/>
    </font>
    <font>
      <sz val="11"/>
      <color theme="2" tint="-0.499984740745262"/>
      <name val="Arial"/>
      <family val="2"/>
      <charset val="186"/>
    </font>
    <font>
      <sz val="11"/>
      <color theme="1"/>
      <name val="Calibri"/>
      <family val="2"/>
      <scheme val="minor"/>
    </font>
    <font>
      <u/>
      <sz val="11"/>
      <color theme="10"/>
      <name val="Calibri"/>
      <family val="2"/>
      <charset val="186"/>
    </font>
    <font>
      <sz val="11"/>
      <color indexed="8"/>
      <name val="Calibri"/>
      <family val="2"/>
    </font>
    <font>
      <sz val="10"/>
      <color indexed="8"/>
      <name val="Arial"/>
      <family val="2"/>
      <charset val="186"/>
    </font>
    <font>
      <sz val="10"/>
      <name val="HelveticaLT"/>
      <charset val="186"/>
    </font>
    <font>
      <sz val="11"/>
      <color rgb="FF000000"/>
      <name val="Calibri"/>
      <family val="2"/>
      <scheme val="minor"/>
    </font>
    <font>
      <sz val="10"/>
      <color indexed="8"/>
      <name val="Arial"/>
      <family val="2"/>
    </font>
    <font>
      <sz val="10"/>
      <color indexed="9"/>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b/>
      <sz val="11"/>
      <color indexed="8"/>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b/>
      <sz val="12"/>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sz val="11"/>
      <color indexed="10"/>
      <name val="Calibri"/>
      <family val="2"/>
    </font>
    <font>
      <u/>
      <sz val="9"/>
      <color theme="10"/>
      <name val="Arial"/>
      <family val="2"/>
      <charset val="186"/>
    </font>
    <font>
      <sz val="10"/>
      <name val="Helv"/>
    </font>
    <font>
      <b/>
      <sz val="10"/>
      <color theme="7" tint="-0.499984740745262"/>
      <name val="Arial"/>
      <family val="2"/>
      <charset val="186"/>
    </font>
    <font>
      <b/>
      <i/>
      <sz val="10"/>
      <color theme="7" tint="-0.499984740745262"/>
      <name val="Arial"/>
      <family val="2"/>
      <charset val="186"/>
    </font>
    <font>
      <sz val="10"/>
      <color rgb="FF000000"/>
      <name val="Arial"/>
      <family val="2"/>
      <charset val="186"/>
    </font>
    <font>
      <i/>
      <sz val="10"/>
      <color rgb="FF000000"/>
      <name val="Arial"/>
      <family val="2"/>
      <charset val="186"/>
    </font>
    <font>
      <sz val="11"/>
      <color rgb="FFC9D6D9"/>
      <name val="Arial"/>
      <family val="2"/>
      <charset val="186"/>
    </font>
    <font>
      <i/>
      <sz val="9"/>
      <color rgb="FFFF0000"/>
      <name val="Arial"/>
      <family val="2"/>
      <charset val="186"/>
    </font>
    <font>
      <sz val="9"/>
      <name val="Arial"/>
      <family val="2"/>
      <charset val="186"/>
    </font>
    <font>
      <b/>
      <sz val="10"/>
      <name val="Arial"/>
      <family val="2"/>
      <charset val="186"/>
    </font>
    <font>
      <b/>
      <sz val="10"/>
      <color rgb="FF000000"/>
      <name val="Arial"/>
      <family val="2"/>
      <charset val="186"/>
    </font>
  </fonts>
  <fills count="5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7" tint="0.59999389629810485"/>
        <bgColor indexed="64"/>
      </patternFill>
    </fill>
    <fill>
      <patternFill patternType="solid">
        <fgColor theme="2" tint="0.39997558519241921"/>
        <bgColor rgb="FF000000"/>
      </patternFill>
    </fill>
    <fill>
      <patternFill patternType="solid">
        <fgColor theme="2" tint="-0.499984740745262"/>
        <bgColor indexed="6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0" tint="-0.14999847407452621"/>
        <bgColor indexed="64"/>
      </patternFill>
    </fill>
    <fill>
      <patternFill patternType="solid">
        <fgColor theme="9" tint="-0.249977111117893"/>
        <bgColor indexed="64"/>
      </patternFill>
    </fill>
  </fills>
  <borders count="98">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style="medium">
        <color theme="7"/>
      </right>
      <top style="medium">
        <color rgb="FF00244D"/>
      </top>
      <bottom style="thick">
        <color theme="7"/>
      </bottom>
      <diagonal/>
    </border>
    <border>
      <left/>
      <right style="medium">
        <color rgb="FF00244D"/>
      </right>
      <top/>
      <bottom style="thick">
        <color theme="7"/>
      </bottom>
      <diagonal/>
    </border>
    <border>
      <left style="medium">
        <color rgb="FF00244D"/>
      </left>
      <right/>
      <top/>
      <bottom style="thick">
        <color theme="7"/>
      </bottom>
      <diagonal/>
    </border>
    <border>
      <left style="thick">
        <color theme="7"/>
      </left>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style="medium">
        <color theme="7"/>
      </left>
      <right style="medium">
        <color rgb="FF00244D"/>
      </right>
      <top style="medium">
        <color theme="7"/>
      </top>
      <bottom style="medium">
        <color theme="7"/>
      </bottom>
      <diagonal/>
    </border>
    <border>
      <left style="medium">
        <color rgb="FF00244D"/>
      </left>
      <right style="medium">
        <color theme="7"/>
      </right>
      <top style="medium">
        <color theme="7"/>
      </top>
      <bottom style="medium">
        <color theme="7"/>
      </bottom>
      <diagonal/>
    </border>
    <border>
      <left/>
      <right/>
      <top style="medium">
        <color theme="7"/>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double">
        <color indexed="48"/>
      </bottom>
      <diagonal/>
    </border>
  </borders>
  <cellStyleXfs count="168">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8" fillId="0" borderId="0"/>
    <xf numFmtId="0" fontId="53" fillId="0" borderId="0"/>
    <xf numFmtId="0" fontId="8" fillId="0" borderId="0"/>
    <xf numFmtId="0" fontId="1" fillId="0" borderId="0"/>
    <xf numFmtId="0" fontId="54" fillId="0" borderId="0" applyNumberFormat="0" applyFill="0" applyBorder="0" applyAlignment="0" applyProtection="0">
      <alignment vertical="top"/>
      <protection locked="0"/>
    </xf>
    <xf numFmtId="0" fontId="55" fillId="0" borderId="0"/>
    <xf numFmtId="0" fontId="9" fillId="0" borderId="0"/>
    <xf numFmtId="0" fontId="9" fillId="0" borderId="0"/>
    <xf numFmtId="173" fontId="1" fillId="0" borderId="0" applyFont="0" applyFill="0" applyBorder="0" applyAlignment="0" applyProtection="0"/>
    <xf numFmtId="0" fontId="55" fillId="0" borderId="0"/>
    <xf numFmtId="0" fontId="53" fillId="0" borderId="0"/>
    <xf numFmtId="0" fontId="53" fillId="0" borderId="0"/>
    <xf numFmtId="9" fontId="1" fillId="0" borderId="0" applyFont="0" applyFill="0" applyBorder="0" applyAlignment="0" applyProtection="0"/>
    <xf numFmtId="173" fontId="1" fillId="0" borderId="0" applyFont="0" applyFill="0" applyBorder="0" applyAlignment="0" applyProtection="0"/>
    <xf numFmtId="0" fontId="53" fillId="0" borderId="0"/>
    <xf numFmtId="0" fontId="1" fillId="0" borderId="0"/>
    <xf numFmtId="0" fontId="9" fillId="0" borderId="0"/>
    <xf numFmtId="0" fontId="9" fillId="0" borderId="0"/>
    <xf numFmtId="0" fontId="9" fillId="0" borderId="0"/>
    <xf numFmtId="0" fontId="1" fillId="0" borderId="0"/>
    <xf numFmtId="0" fontId="1" fillId="0" borderId="0"/>
    <xf numFmtId="173" fontId="1" fillId="0" borderId="0" applyFont="0" applyFill="0" applyBorder="0" applyAlignment="0" applyProtection="0"/>
    <xf numFmtId="0" fontId="57" fillId="0" borderId="0"/>
    <xf numFmtId="173" fontId="1" fillId="0" borderId="0" applyFont="0" applyFill="0" applyBorder="0" applyAlignment="0" applyProtection="0"/>
    <xf numFmtId="0" fontId="58" fillId="0" borderId="0"/>
    <xf numFmtId="0" fontId="9" fillId="0" borderId="0"/>
    <xf numFmtId="0" fontId="9" fillId="0" borderId="0"/>
    <xf numFmtId="173" fontId="9" fillId="0" borderId="0" applyFont="0" applyFill="0" applyBorder="0" applyAlignment="0" applyProtection="0"/>
    <xf numFmtId="0" fontId="59" fillId="12"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3"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59" fillId="18" borderId="0" applyNumberFormat="0" applyBorder="0" applyAlignment="0" applyProtection="0"/>
    <xf numFmtId="0" fontId="59" fillId="21" borderId="0" applyNumberFormat="0" applyBorder="0" applyAlignment="0" applyProtection="0"/>
    <xf numFmtId="0" fontId="60" fillId="18" borderId="0" applyNumberFormat="0" applyBorder="0" applyAlignment="0" applyProtection="0"/>
    <xf numFmtId="0" fontId="60" fillId="13" borderId="0" applyNumberFormat="0" applyBorder="0" applyAlignment="0" applyProtection="0"/>
    <xf numFmtId="0" fontId="60" fillId="19" borderId="0" applyNumberFormat="0" applyBorder="0" applyAlignment="0" applyProtection="0"/>
    <xf numFmtId="0" fontId="60" fillId="20" borderId="0" applyNumberFormat="0" applyBorder="0" applyAlignment="0" applyProtection="0"/>
    <xf numFmtId="0" fontId="60" fillId="18" borderId="0" applyNumberFormat="0" applyBorder="0" applyAlignment="0" applyProtection="0"/>
    <xf numFmtId="0" fontId="60" fillId="21" borderId="0" applyNumberFormat="0" applyBorder="0" applyAlignment="0" applyProtection="0"/>
    <xf numFmtId="0" fontId="61"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55" fillId="31" borderId="0" applyNumberFormat="0" applyBorder="0" applyAlignment="0" applyProtection="0"/>
    <xf numFmtId="0" fontId="55"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61" fillId="24" borderId="0" applyNumberFormat="0" applyBorder="0" applyAlignment="0" applyProtection="0"/>
    <xf numFmtId="0" fontId="61" fillId="35" borderId="0" applyNumberFormat="0" applyBorder="0" applyAlignment="0" applyProtection="0"/>
    <xf numFmtId="0" fontId="55" fillId="36" borderId="0" applyNumberFormat="0" applyBorder="0" applyAlignment="0" applyProtection="0"/>
    <xf numFmtId="0" fontId="55" fillId="28" borderId="0" applyNumberFormat="0" applyBorder="0" applyAlignment="0" applyProtection="0"/>
    <xf numFmtId="0" fontId="61" fillId="37" borderId="0" applyNumberFormat="0" applyBorder="0" applyAlignment="0" applyProtection="0"/>
    <xf numFmtId="0" fontId="62" fillId="28" borderId="0" applyNumberFormat="0" applyBorder="0" applyAlignment="0" applyProtection="0"/>
    <xf numFmtId="0" fontId="63" fillId="38" borderId="87" applyNumberFormat="0" applyAlignment="0" applyProtection="0"/>
    <xf numFmtId="0" fontId="64" fillId="29" borderId="88" applyNumberFormat="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6" fillId="0" borderId="0" applyNumberFormat="0" applyFill="0" applyBorder="0" applyAlignment="0" applyProtection="0"/>
    <xf numFmtId="0" fontId="67" fillId="42" borderId="0" applyNumberFormat="0" applyBorder="0" applyAlignment="0" applyProtection="0"/>
    <xf numFmtId="0" fontId="68" fillId="0" borderId="89" applyNumberFormat="0" applyFill="0" applyAlignment="0" applyProtection="0"/>
    <xf numFmtId="0" fontId="69" fillId="0" borderId="90" applyNumberFormat="0" applyFill="0" applyAlignment="0" applyProtection="0"/>
    <xf numFmtId="0" fontId="70" fillId="0" borderId="91" applyNumberFormat="0" applyFill="0" applyAlignment="0" applyProtection="0"/>
    <xf numFmtId="0" fontId="70" fillId="0" borderId="0" applyNumberFormat="0" applyFill="0" applyBorder="0" applyAlignment="0" applyProtection="0"/>
    <xf numFmtId="0" fontId="71" fillId="37" borderId="87" applyNumberFormat="0" applyAlignment="0" applyProtection="0"/>
    <xf numFmtId="0" fontId="9" fillId="0" borderId="0"/>
    <xf numFmtId="0" fontId="72" fillId="0" borderId="92" applyNumberFormat="0" applyFill="0" applyAlignment="0" applyProtection="0"/>
    <xf numFmtId="0" fontId="73" fillId="37" borderId="0" applyNumberFormat="0" applyBorder="0" applyAlignment="0" applyProtection="0"/>
    <xf numFmtId="0" fontId="9" fillId="36" borderId="93" applyNumberFormat="0" applyFont="0" applyAlignment="0" applyProtection="0"/>
    <xf numFmtId="0" fontId="74" fillId="38" borderId="94" applyNumberFormat="0" applyAlignment="0" applyProtection="0"/>
    <xf numFmtId="4" fontId="75" fillId="43" borderId="95" applyNumberFormat="0" applyProtection="0">
      <alignment vertical="center"/>
    </xf>
    <xf numFmtId="4" fontId="76" fillId="43" borderId="95" applyNumberFormat="0" applyProtection="0">
      <alignment vertical="center"/>
    </xf>
    <xf numFmtId="4" fontId="75" fillId="43" borderId="95" applyNumberFormat="0" applyProtection="0">
      <alignment horizontal="left" vertical="center" indent="1"/>
    </xf>
    <xf numFmtId="0" fontId="75" fillId="43" borderId="95" applyNumberFormat="0" applyProtection="0">
      <alignment horizontal="left" vertical="top" indent="1"/>
    </xf>
    <xf numFmtId="4" fontId="75" fillId="12" borderId="0" applyNumberFormat="0" applyProtection="0">
      <alignment horizontal="left" vertical="center" indent="1"/>
    </xf>
    <xf numFmtId="4" fontId="59" fillId="17" borderId="95" applyNumberFormat="0" applyProtection="0">
      <alignment horizontal="right" vertical="center"/>
    </xf>
    <xf numFmtId="4" fontId="59" fillId="13" borderId="95" applyNumberFormat="0" applyProtection="0">
      <alignment horizontal="right" vertical="center"/>
    </xf>
    <xf numFmtId="4" fontId="59" fillId="44" borderId="95" applyNumberFormat="0" applyProtection="0">
      <alignment horizontal="right" vertical="center"/>
    </xf>
    <xf numFmtId="4" fontId="59" fillId="45" borderId="95" applyNumberFormat="0" applyProtection="0">
      <alignment horizontal="right" vertical="center"/>
    </xf>
    <xf numFmtId="4" fontId="59" fillId="46" borderId="95" applyNumberFormat="0" applyProtection="0">
      <alignment horizontal="right" vertical="center"/>
    </xf>
    <xf numFmtId="4" fontId="59" fillId="47" borderId="95" applyNumberFormat="0" applyProtection="0">
      <alignment horizontal="right" vertical="center"/>
    </xf>
    <xf numFmtId="4" fontId="59" fillId="19" borderId="95" applyNumberFormat="0" applyProtection="0">
      <alignment horizontal="right" vertical="center"/>
    </xf>
    <xf numFmtId="4" fontId="59" fillId="48" borderId="95" applyNumberFormat="0" applyProtection="0">
      <alignment horizontal="right" vertical="center"/>
    </xf>
    <xf numFmtId="4" fontId="59" fillId="49" borderId="95" applyNumberFormat="0" applyProtection="0">
      <alignment horizontal="right" vertical="center"/>
    </xf>
    <xf numFmtId="4" fontId="75" fillId="50" borderId="96" applyNumberFormat="0" applyProtection="0">
      <alignment horizontal="left" vertical="center" indent="1"/>
    </xf>
    <xf numFmtId="4" fontId="59" fillId="51" borderId="0" applyNumberFormat="0" applyProtection="0">
      <alignment horizontal="left" vertical="center" indent="1"/>
    </xf>
    <xf numFmtId="4" fontId="77" fillId="18" borderId="0" applyNumberFormat="0" applyProtection="0">
      <alignment horizontal="left" vertical="center" indent="1"/>
    </xf>
    <xf numFmtId="4" fontId="59" fillId="12" borderId="95" applyNumberFormat="0" applyProtection="0">
      <alignment horizontal="right" vertical="center"/>
    </xf>
    <xf numFmtId="4" fontId="56" fillId="51" borderId="0" applyNumberFormat="0" applyProtection="0">
      <alignment horizontal="left" vertical="center" indent="1"/>
    </xf>
    <xf numFmtId="4" fontId="56" fillId="12" borderId="0" applyNumberFormat="0" applyProtection="0">
      <alignment horizontal="left" vertical="center" indent="1"/>
    </xf>
    <xf numFmtId="0" fontId="9" fillId="18" borderId="95" applyNumberFormat="0" applyProtection="0">
      <alignment horizontal="left" vertical="center" indent="1"/>
    </xf>
    <xf numFmtId="0" fontId="9" fillId="18" borderId="95" applyNumberFormat="0" applyProtection="0">
      <alignment horizontal="left" vertical="top" indent="1"/>
    </xf>
    <xf numFmtId="0" fontId="9" fillId="12" borderId="95" applyNumberFormat="0" applyProtection="0">
      <alignment horizontal="left" vertical="center" indent="1"/>
    </xf>
    <xf numFmtId="0" fontId="9" fillId="12" borderId="95" applyNumberFormat="0" applyProtection="0">
      <alignment horizontal="left" vertical="top" indent="1"/>
    </xf>
    <xf numFmtId="0" fontId="9" fillId="16" borderId="95" applyNumberFormat="0" applyProtection="0">
      <alignment horizontal="left" vertical="center" indent="1"/>
    </xf>
    <xf numFmtId="0" fontId="9" fillId="16" borderId="95" applyNumberFormat="0" applyProtection="0">
      <alignment horizontal="left" vertical="top" indent="1"/>
    </xf>
    <xf numFmtId="0" fontId="9" fillId="51" borderId="95" applyNumberFormat="0" applyProtection="0">
      <alignment horizontal="left" vertical="center" indent="1"/>
    </xf>
    <xf numFmtId="0" fontId="9" fillId="51" borderId="95" applyNumberFormat="0" applyProtection="0">
      <alignment horizontal="left" vertical="top" indent="1"/>
    </xf>
    <xf numFmtId="0" fontId="9" fillId="15" borderId="86" applyNumberFormat="0">
      <protection locked="0"/>
    </xf>
    <xf numFmtId="4" fontId="59" fillId="14" borderId="95" applyNumberFormat="0" applyProtection="0">
      <alignment vertical="center"/>
    </xf>
    <xf numFmtId="4" fontId="78" fillId="14" borderId="95" applyNumberFormat="0" applyProtection="0">
      <alignment vertical="center"/>
    </xf>
    <xf numFmtId="4" fontId="59" fillId="14" borderId="95" applyNumberFormat="0" applyProtection="0">
      <alignment horizontal="left" vertical="center" indent="1"/>
    </xf>
    <xf numFmtId="0" fontId="59" fillId="14" borderId="95" applyNumberFormat="0" applyProtection="0">
      <alignment horizontal="left" vertical="top" indent="1"/>
    </xf>
    <xf numFmtId="4" fontId="59" fillId="51" borderId="95" applyNumberFormat="0" applyProtection="0">
      <alignment horizontal="right" vertical="center"/>
    </xf>
    <xf numFmtId="4" fontId="78" fillId="51" borderId="95" applyNumberFormat="0" applyProtection="0">
      <alignment horizontal="right" vertical="center"/>
    </xf>
    <xf numFmtId="4" fontId="59" fillId="12" borderId="95" applyNumberFormat="0" applyProtection="0">
      <alignment horizontal="left" vertical="center" indent="1"/>
    </xf>
    <xf numFmtId="0" fontId="59" fillId="12" borderId="95" applyNumberFormat="0" applyProtection="0">
      <alignment horizontal="left" vertical="top" indent="1"/>
    </xf>
    <xf numFmtId="4" fontId="79" fillId="52" borderId="0" applyNumberFormat="0" applyProtection="0">
      <alignment horizontal="left" vertical="center" indent="1"/>
    </xf>
    <xf numFmtId="4" fontId="80" fillId="51" borderId="95" applyNumberFormat="0" applyProtection="0">
      <alignment horizontal="right" vertical="center"/>
    </xf>
    <xf numFmtId="0" fontId="81" fillId="0" borderId="0" applyNumberFormat="0" applyFill="0" applyBorder="0" applyAlignment="0" applyProtection="0"/>
    <xf numFmtId="0" fontId="81" fillId="0" borderId="0" applyNumberFormat="0" applyFill="0" applyBorder="0" applyAlignment="0" applyProtection="0"/>
    <xf numFmtId="0" fontId="65" fillId="0" borderId="97" applyNumberFormat="0" applyFill="0" applyAlignment="0" applyProtection="0"/>
    <xf numFmtId="0" fontId="8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applyNumberFormat="0" applyFill="0" applyBorder="0" applyAlignment="0" applyProtection="0">
      <alignment vertical="top"/>
      <protection locked="0"/>
    </xf>
    <xf numFmtId="174" fontId="1" fillId="0" borderId="0" applyFont="0" applyFill="0" applyBorder="0" applyAlignment="0" applyProtection="0"/>
    <xf numFmtId="0" fontId="9" fillId="0" borderId="0"/>
    <xf numFmtId="0" fontId="9" fillId="0" borderId="0"/>
    <xf numFmtId="0" fontId="9" fillId="0" borderId="0"/>
    <xf numFmtId="0" fontId="9" fillId="0" borderId="0"/>
    <xf numFmtId="0" fontId="84" fillId="0" borderId="0"/>
    <xf numFmtId="9" fontId="1" fillId="0" borderId="0" applyFont="0" applyFill="0" applyBorder="0" applyAlignment="0" applyProtection="0"/>
    <xf numFmtId="0" fontId="9" fillId="0" borderId="0"/>
    <xf numFmtId="173" fontId="58" fillId="0" borderId="0" applyFont="0" applyFill="0" applyBorder="0" applyAlignment="0" applyProtection="0"/>
    <xf numFmtId="0" fontId="58" fillId="0" borderId="0"/>
    <xf numFmtId="0" fontId="58" fillId="0" borderId="0"/>
    <xf numFmtId="9" fontId="1" fillId="0" borderId="0" applyFont="0" applyFill="0" applyBorder="0" applyAlignment="0" applyProtection="0"/>
    <xf numFmtId="0" fontId="53" fillId="0" borderId="0"/>
    <xf numFmtId="0" fontId="1" fillId="0" borderId="0"/>
    <xf numFmtId="173"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cellStyleXfs>
  <cellXfs count="508">
    <xf numFmtId="0" fontId="0" fillId="0" borderId="0" xfId="0"/>
    <xf numFmtId="0" fontId="3" fillId="0" borderId="0" xfId="0" applyFont="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Alignment="1">
      <alignment wrapText="1"/>
    </xf>
    <xf numFmtId="0" fontId="3" fillId="0" borderId="0" xfId="0" applyFont="1" applyAlignment="1">
      <alignment horizontal="right" indent="1"/>
    </xf>
    <xf numFmtId="0" fontId="3" fillId="0" borderId="0" xfId="0" applyFont="1" applyAlignment="1">
      <alignment horizontal="right" wrapText="1" indent="1"/>
    </xf>
    <xf numFmtId="0" fontId="5" fillId="0" borderId="0" xfId="0" applyFont="1"/>
    <xf numFmtId="0" fontId="13" fillId="0" borderId="0" xfId="0" applyFont="1"/>
    <xf numFmtId="0" fontId="8" fillId="0" borderId="0" xfId="0" applyFont="1"/>
    <xf numFmtId="166" fontId="3" fillId="0" borderId="0" xfId="0" applyNumberFormat="1" applyFont="1"/>
    <xf numFmtId="0" fontId="16" fillId="0" borderId="0" xfId="0" applyFont="1"/>
    <xf numFmtId="164" fontId="3" fillId="0" borderId="0" xfId="0" applyNumberFormat="1" applyFont="1"/>
    <xf numFmtId="0" fontId="18" fillId="0" borderId="0" xfId="0" applyFont="1"/>
    <xf numFmtId="0" fontId="19" fillId="0" borderId="0" xfId="0" applyFont="1" applyAlignment="1">
      <alignment horizontal="right" indent="1"/>
    </xf>
    <xf numFmtId="0" fontId="5" fillId="0" borderId="0" xfId="0" applyFont="1" applyAlignment="1">
      <alignment horizontal="right" indent="1"/>
    </xf>
    <xf numFmtId="2" fontId="5" fillId="0" borderId="0" xfId="0" applyNumberFormat="1" applyFont="1" applyAlignment="1">
      <alignment horizontal="center"/>
    </xf>
    <xf numFmtId="169" fontId="3" fillId="0" borderId="0" xfId="0" applyNumberFormat="1" applyFont="1"/>
    <xf numFmtId="0" fontId="3" fillId="0" borderId="0" xfId="0" applyFont="1" applyAlignment="1">
      <alignment vertical="center"/>
    </xf>
    <xf numFmtId="0" fontId="7" fillId="2" borderId="0" xfId="0" applyFont="1" applyFill="1" applyAlignment="1">
      <alignment horizontal="center" vertical="center"/>
    </xf>
    <xf numFmtId="166" fontId="3" fillId="0" borderId="0" xfId="0" applyNumberFormat="1" applyFont="1" applyAlignment="1">
      <alignment horizontal="right" indent="1"/>
    </xf>
    <xf numFmtId="0" fontId="8" fillId="2" borderId="0" xfId="0" applyFont="1" applyFill="1"/>
    <xf numFmtId="2" fontId="3" fillId="0" borderId="0" xfId="0" applyNumberFormat="1" applyFont="1"/>
    <xf numFmtId="170" fontId="3" fillId="0" borderId="0" xfId="0" applyNumberFormat="1" applyFont="1"/>
    <xf numFmtId="0" fontId="20" fillId="0" borderId="0" xfId="0" applyFont="1"/>
    <xf numFmtId="0" fontId="21" fillId="0" borderId="0" xfId="0" applyFont="1" applyAlignment="1">
      <alignment vertical="center"/>
    </xf>
    <xf numFmtId="0" fontId="3" fillId="0" borderId="0" xfId="0" applyFont="1" applyAlignment="1">
      <alignment horizontal="right"/>
    </xf>
    <xf numFmtId="0" fontId="5" fillId="0" borderId="0" xfId="0" applyFont="1" applyAlignment="1">
      <alignment horizontal="right"/>
    </xf>
    <xf numFmtId="0" fontId="5" fillId="0" borderId="0" xfId="0" applyFont="1" applyAlignment="1">
      <alignment horizontal="center"/>
    </xf>
    <xf numFmtId="1" fontId="5" fillId="0" borderId="0" xfId="0" applyNumberFormat="1" applyFont="1" applyAlignment="1">
      <alignment horizontal="center"/>
    </xf>
    <xf numFmtId="0" fontId="5" fillId="0" borderId="0" xfId="0" applyFont="1" applyAlignment="1">
      <alignment horizontal="left"/>
    </xf>
    <xf numFmtId="1" fontId="3" fillId="0" borderId="0" xfId="0" applyNumberFormat="1" applyFont="1"/>
    <xf numFmtId="169" fontId="16" fillId="0" borderId="0" xfId="0" applyNumberFormat="1" applyFont="1"/>
    <xf numFmtId="0" fontId="3" fillId="0" borderId="0" xfId="0" applyFont="1" applyAlignment="1">
      <alignment horizontal="left" wrapText="1"/>
    </xf>
    <xf numFmtId="0" fontId="19" fillId="0" borderId="0" xfId="0" applyFont="1"/>
    <xf numFmtId="0" fontId="3" fillId="0" borderId="0" xfId="0" applyFont="1" applyAlignment="1">
      <alignment horizontal="left"/>
    </xf>
    <xf numFmtId="167" fontId="8" fillId="0" borderId="0" xfId="0" applyNumberFormat="1" applyFont="1" applyAlignment="1">
      <alignment horizontal="center"/>
    </xf>
    <xf numFmtId="0" fontId="24" fillId="0" borderId="0" xfId="0" applyFont="1"/>
    <xf numFmtId="1" fontId="28" fillId="0" borderId="0" xfId="0" applyNumberFormat="1" applyFont="1" applyAlignment="1">
      <alignment horizontal="center"/>
    </xf>
    <xf numFmtId="0" fontId="23" fillId="0" borderId="0" xfId="0" applyFont="1"/>
    <xf numFmtId="0" fontId="3" fillId="3" borderId="0" xfId="0" applyFont="1" applyFill="1"/>
    <xf numFmtId="0" fontId="29" fillId="0" borderId="0" xfId="0" applyFont="1"/>
    <xf numFmtId="0" fontId="24" fillId="0" borderId="0" xfId="0" applyFont="1" applyAlignment="1">
      <alignment horizontal="right" indent="1"/>
    </xf>
    <xf numFmtId="0" fontId="24" fillId="0" borderId="0" xfId="0" applyFont="1" applyAlignment="1">
      <alignment horizontal="left"/>
    </xf>
    <xf numFmtId="0" fontId="30" fillId="0" borderId="0" xfId="0" applyFont="1"/>
    <xf numFmtId="0" fontId="31" fillId="0" borderId="0" xfId="1" applyFont="1" applyFill="1" applyBorder="1"/>
    <xf numFmtId="1" fontId="29" fillId="0" borderId="0" xfId="0" applyNumberFormat="1" applyFont="1" applyAlignment="1">
      <alignment horizontal="center"/>
    </xf>
    <xf numFmtId="0" fontId="9" fillId="0" borderId="0" xfId="3" applyFont="1"/>
    <xf numFmtId="166" fontId="30" fillId="0" borderId="0" xfId="0" applyNumberFormat="1" applyFont="1"/>
    <xf numFmtId="169" fontId="30" fillId="0" borderId="0" xfId="0" applyNumberFormat="1" applyFont="1"/>
    <xf numFmtId="14" fontId="30" fillId="0" borderId="0" xfId="0" applyNumberFormat="1" applyFont="1"/>
    <xf numFmtId="166" fontId="8" fillId="0" borderId="0" xfId="0" applyNumberFormat="1" applyFont="1"/>
    <xf numFmtId="0" fontId="32" fillId="0" borderId="0" xfId="0" applyFont="1"/>
    <xf numFmtId="0" fontId="2" fillId="0" borderId="0" xfId="1" applyFill="1" applyBorder="1"/>
    <xf numFmtId="0" fontId="24" fillId="0" borderId="0" xfId="0" applyFont="1" applyAlignment="1">
      <alignment horizontal="left" wrapText="1"/>
    </xf>
    <xf numFmtId="0" fontId="3" fillId="0" borderId="0" xfId="0" applyFont="1" applyAlignment="1">
      <alignment horizontal="left" vertical="center"/>
    </xf>
    <xf numFmtId="0" fontId="33" fillId="0" borderId="12" xfId="0" applyFont="1" applyBorder="1"/>
    <xf numFmtId="0" fontId="33" fillId="0" borderId="1" xfId="0" applyFont="1" applyBorder="1"/>
    <xf numFmtId="0" fontId="33" fillId="0" borderId="13" xfId="0" applyFont="1" applyBorder="1"/>
    <xf numFmtId="0" fontId="34" fillId="5" borderId="15" xfId="0" applyFont="1" applyFill="1" applyBorder="1" applyAlignment="1">
      <alignment horizontal="center" vertical="center"/>
    </xf>
    <xf numFmtId="0" fontId="33" fillId="0" borderId="14" xfId="0" applyFont="1" applyBorder="1"/>
    <xf numFmtId="0" fontId="33" fillId="0" borderId="0" xfId="0" applyFont="1"/>
    <xf numFmtId="0" fontId="33" fillId="0" borderId="15" xfId="0" applyFont="1" applyBorder="1"/>
    <xf numFmtId="0" fontId="35" fillId="5" borderId="15" xfId="0" applyFont="1" applyFill="1" applyBorder="1"/>
    <xf numFmtId="0" fontId="33" fillId="0" borderId="0" xfId="1" applyFont="1" applyBorder="1" applyAlignment="1" applyProtection="1">
      <alignment horizontal="justify" vertical="top" wrapText="1"/>
    </xf>
    <xf numFmtId="0" fontId="33" fillId="0" borderId="15" xfId="1" applyFont="1" applyBorder="1" applyAlignment="1" applyProtection="1">
      <alignment horizontal="justify" vertical="top" wrapText="1"/>
    </xf>
    <xf numFmtId="0" fontId="38" fillId="0" borderId="0" xfId="1" applyFont="1" applyBorder="1" applyAlignment="1" applyProtection="1">
      <alignment horizontal="left" indent="2"/>
    </xf>
    <xf numFmtId="0" fontId="38" fillId="0" borderId="0" xfId="1" applyFont="1" applyBorder="1" applyAlignment="1" applyProtection="1"/>
    <xf numFmtId="0" fontId="36" fillId="0" borderId="14" xfId="0" applyFont="1" applyBorder="1"/>
    <xf numFmtId="0" fontId="39" fillId="0" borderId="0" xfId="1" applyFont="1" applyBorder="1" applyAlignment="1" applyProtection="1"/>
    <xf numFmtId="0" fontId="33" fillId="0" borderId="16" xfId="0" applyFont="1" applyBorder="1"/>
    <xf numFmtId="0" fontId="33" fillId="0" borderId="17" xfId="0" applyFont="1" applyBorder="1"/>
    <xf numFmtId="0" fontId="33" fillId="0" borderId="18" xfId="0" applyFont="1" applyBorder="1"/>
    <xf numFmtId="0" fontId="38" fillId="0" borderId="0" xfId="1" applyFont="1" applyFill="1" applyBorder="1" applyAlignment="1" applyProtection="1"/>
    <xf numFmtId="166" fontId="24" fillId="0" borderId="0" xfId="0" applyNumberFormat="1" applyFont="1"/>
    <xf numFmtId="0" fontId="27" fillId="0" borderId="0" xfId="0" applyFont="1"/>
    <xf numFmtId="0" fontId="8" fillId="0" borderId="8" xfId="0" applyFont="1" applyBorder="1" applyAlignment="1">
      <alignment horizontal="center" vertical="center"/>
    </xf>
    <xf numFmtId="0" fontId="3" fillId="0" borderId="8" xfId="0" applyFont="1" applyBorder="1" applyAlignment="1">
      <alignment horizontal="left" vertical="center" wrapText="1"/>
    </xf>
    <xf numFmtId="0" fontId="8" fillId="0" borderId="8" xfId="0" applyFont="1" applyBorder="1" applyAlignment="1">
      <alignment horizontal="left" vertical="center" wrapText="1"/>
    </xf>
    <xf numFmtId="16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0" borderId="8"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center" vertical="center" wrapText="1"/>
    </xf>
    <xf numFmtId="164" fontId="8" fillId="0" borderId="8" xfId="0" applyNumberFormat="1" applyFont="1" applyBorder="1" applyAlignment="1">
      <alignment vertical="center" wrapText="1"/>
    </xf>
    <xf numFmtId="164" fontId="8" fillId="0" borderId="8" xfId="0" applyNumberFormat="1" applyFont="1" applyBorder="1" applyAlignment="1">
      <alignment vertical="center"/>
    </xf>
    <xf numFmtId="0" fontId="8" fillId="0" borderId="8" xfId="0" applyFont="1" applyBorder="1" applyAlignment="1">
      <alignment vertical="center"/>
    </xf>
    <xf numFmtId="0" fontId="3" fillId="6" borderId="8" xfId="0" applyFont="1" applyFill="1" applyBorder="1" applyAlignment="1">
      <alignment horizontal="center" vertical="center" wrapText="1"/>
    </xf>
    <xf numFmtId="0" fontId="3" fillId="3" borderId="14" xfId="0" applyFont="1" applyFill="1" applyBorder="1" applyAlignment="1">
      <alignment vertical="center" wrapText="1"/>
    </xf>
    <xf numFmtId="0" fontId="3" fillId="0" borderId="33" xfId="0" applyFont="1" applyBorder="1" applyAlignment="1">
      <alignment vertical="center" wrapText="1"/>
    </xf>
    <xf numFmtId="164" fontId="8" fillId="0" borderId="34" xfId="0" applyNumberFormat="1" applyFont="1" applyBorder="1" applyAlignment="1">
      <alignment vertical="center" wrapText="1"/>
    </xf>
    <xf numFmtId="0" fontId="8" fillId="0" borderId="33" xfId="0" applyFont="1" applyBorder="1" applyAlignment="1">
      <alignment vertical="center" wrapText="1"/>
    </xf>
    <xf numFmtId="0" fontId="8" fillId="0" borderId="47" xfId="0" applyFont="1" applyBorder="1" applyAlignment="1">
      <alignment vertical="center" wrapText="1"/>
    </xf>
    <xf numFmtId="0" fontId="8" fillId="0" borderId="48" xfId="0" applyFont="1" applyBorder="1" applyAlignment="1">
      <alignment vertical="center"/>
    </xf>
    <xf numFmtId="0" fontId="8" fillId="0" borderId="48" xfId="0" applyFont="1" applyBorder="1" applyAlignment="1">
      <alignment horizontal="left" vertical="center" wrapText="1"/>
    </xf>
    <xf numFmtId="0" fontId="8" fillId="0" borderId="49" xfId="0" applyFont="1" applyBorder="1" applyAlignment="1">
      <alignment vertical="center"/>
    </xf>
    <xf numFmtId="0" fontId="8" fillId="0" borderId="34" xfId="0" applyFont="1" applyBorder="1" applyAlignment="1">
      <alignment horizontal="center" vertical="center"/>
    </xf>
    <xf numFmtId="0" fontId="3" fillId="0" borderId="33" xfId="0" applyFont="1" applyBorder="1" applyAlignment="1">
      <alignment horizontal="left" vertical="center" wrapText="1"/>
    </xf>
    <xf numFmtId="164" fontId="8" fillId="0" borderId="34" xfId="0" applyNumberFormat="1" applyFont="1" applyBorder="1" applyAlignment="1">
      <alignment horizontal="center" vertical="center"/>
    </xf>
    <xf numFmtId="0" fontId="8" fillId="0" borderId="48" xfId="0" applyFont="1" applyBorder="1" applyAlignment="1">
      <alignment horizontal="left" vertical="center"/>
    </xf>
    <xf numFmtId="0" fontId="25" fillId="3" borderId="23" xfId="0" applyFont="1" applyFill="1" applyBorder="1" applyAlignment="1">
      <alignment vertical="top" wrapText="1"/>
    </xf>
    <xf numFmtId="0" fontId="3" fillId="3" borderId="22" xfId="0" applyFont="1" applyFill="1" applyBorder="1" applyAlignment="1">
      <alignment horizontal="center" vertical="center" wrapText="1"/>
    </xf>
    <xf numFmtId="0" fontId="25" fillId="3" borderId="18" xfId="0" applyFont="1" applyFill="1" applyBorder="1" applyAlignment="1">
      <alignment vertical="top" wrapText="1"/>
    </xf>
    <xf numFmtId="0" fontId="33" fillId="0" borderId="53" xfId="0" applyFont="1" applyBorder="1" applyAlignment="1">
      <alignment horizontal="center" vertical="top"/>
    </xf>
    <xf numFmtId="0" fontId="33" fillId="0" borderId="37" xfId="0" applyFont="1" applyBorder="1" applyAlignment="1">
      <alignment horizontal="center" vertical="top"/>
    </xf>
    <xf numFmtId="0" fontId="3" fillId="0" borderId="29" xfId="0" applyFont="1" applyBorder="1"/>
    <xf numFmtId="0" fontId="3" fillId="6" borderId="75" xfId="0" applyFont="1" applyFill="1" applyBorder="1"/>
    <xf numFmtId="0" fontId="3" fillId="7"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25" fillId="6" borderId="23"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24" fillId="6" borderId="42"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8" fillId="8" borderId="36" xfId="0" applyFont="1" applyFill="1" applyBorder="1" applyAlignment="1">
      <alignment horizontal="center" vertical="center" wrapText="1"/>
    </xf>
    <xf numFmtId="0" fontId="25" fillId="8" borderId="38"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24" fillId="8" borderId="38" xfId="0" applyFont="1" applyFill="1" applyBorder="1" applyAlignment="1">
      <alignment horizontal="center" vertical="center" wrapText="1"/>
    </xf>
    <xf numFmtId="0" fontId="8" fillId="8" borderId="34" xfId="0" applyFont="1" applyFill="1" applyBorder="1" applyAlignment="1">
      <alignment horizontal="center" vertical="center"/>
    </xf>
    <xf numFmtId="0" fontId="3" fillId="8" borderId="76" xfId="0" applyFont="1" applyFill="1" applyBorder="1"/>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164" fontId="8" fillId="8" borderId="8" xfId="0" applyNumberFormat="1" applyFont="1" applyFill="1" applyBorder="1" applyAlignment="1">
      <alignment vertical="center" wrapText="1"/>
    </xf>
    <xf numFmtId="164" fontId="8" fillId="8" borderId="34" xfId="0" applyNumberFormat="1" applyFont="1" applyFill="1" applyBorder="1" applyAlignment="1">
      <alignment vertical="center" wrapText="1"/>
    </xf>
    <xf numFmtId="0" fontId="3" fillId="8" borderId="34" xfId="0" applyFont="1" applyFill="1" applyBorder="1" applyAlignment="1">
      <alignment horizontal="center" vertical="center"/>
    </xf>
    <xf numFmtId="169" fontId="3" fillId="8" borderId="36" xfId="0" applyNumberFormat="1" applyFont="1" applyFill="1" applyBorder="1" applyAlignment="1">
      <alignment horizontal="center" vertical="center"/>
    </xf>
    <xf numFmtId="169" fontId="24" fillId="8" borderId="38" xfId="0" applyNumberFormat="1" applyFont="1" applyFill="1" applyBorder="1" applyAlignment="1">
      <alignment horizontal="center" vertical="center"/>
    </xf>
    <xf numFmtId="171" fontId="25" fillId="8" borderId="38" xfId="0" applyNumberFormat="1" applyFont="1" applyFill="1" applyBorder="1" applyAlignment="1">
      <alignment horizontal="center" vertical="center" wrapText="1"/>
    </xf>
    <xf numFmtId="169" fontId="24" fillId="8" borderId="38" xfId="0" applyNumberFormat="1" applyFont="1" applyFill="1" applyBorder="1" applyAlignment="1">
      <alignment horizontal="center" vertical="center" wrapText="1"/>
    </xf>
    <xf numFmtId="169" fontId="3" fillId="8" borderId="36" xfId="0" applyNumberFormat="1" applyFont="1" applyFill="1" applyBorder="1" applyAlignment="1">
      <alignment horizontal="center" vertical="center" wrapText="1"/>
    </xf>
    <xf numFmtId="0" fontId="40" fillId="8" borderId="36" xfId="0" applyFont="1" applyFill="1" applyBorder="1" applyAlignment="1">
      <alignment horizontal="center" vertical="center"/>
    </xf>
    <xf numFmtId="0" fontId="40" fillId="8" borderId="40" xfId="0" applyFont="1" applyFill="1" applyBorder="1" applyAlignment="1">
      <alignment horizontal="center" vertical="center" wrapText="1"/>
    </xf>
    <xf numFmtId="0" fontId="41" fillId="8" borderId="40" xfId="0" applyFont="1" applyFill="1" applyBorder="1" applyAlignment="1">
      <alignment horizontal="center" vertical="center" wrapText="1"/>
    </xf>
    <xf numFmtId="0" fontId="41" fillId="8" borderId="43" xfId="0" applyFont="1" applyFill="1" applyBorder="1" applyAlignment="1">
      <alignment horizontal="center" vertical="center" wrapText="1"/>
    </xf>
    <xf numFmtId="1" fontId="3" fillId="8" borderId="36" xfId="0" applyNumberFormat="1" applyFont="1" applyFill="1" applyBorder="1" applyAlignment="1">
      <alignment horizontal="center" vertical="center" wrapText="1"/>
    </xf>
    <xf numFmtId="1" fontId="3" fillId="8" borderId="40" xfId="0" applyNumberFormat="1" applyFont="1" applyFill="1" applyBorder="1" applyAlignment="1">
      <alignment horizontal="center" vertical="center" wrapText="1"/>
    </xf>
    <xf numFmtId="1" fontId="24" fillId="8" borderId="38" xfId="0" applyNumberFormat="1"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1" fontId="8" fillId="8" borderId="40" xfId="0" applyNumberFormat="1" applyFont="1" applyFill="1" applyBorder="1" applyAlignment="1">
      <alignment horizontal="center" vertical="center" wrapText="1"/>
    </xf>
    <xf numFmtId="0" fontId="25" fillId="8" borderId="38" xfId="0" applyFont="1" applyFill="1" applyBorder="1" applyAlignment="1">
      <alignment horizontal="center" vertical="center"/>
    </xf>
    <xf numFmtId="0" fontId="41" fillId="8" borderId="40" xfId="0" applyFont="1" applyFill="1" applyBorder="1" applyAlignment="1">
      <alignment horizontal="center" vertical="center"/>
    </xf>
    <xf numFmtId="0" fontId="41" fillId="8" borderId="38" xfId="0" applyFont="1" applyFill="1" applyBorder="1" applyAlignment="1">
      <alignment horizontal="center" vertical="center" wrapText="1"/>
    </xf>
    <xf numFmtId="0" fontId="8" fillId="8" borderId="62" xfId="0" applyFont="1" applyFill="1" applyBorder="1" applyAlignment="1">
      <alignment horizontal="center" vertical="center"/>
    </xf>
    <xf numFmtId="0" fontId="8" fillId="8" borderId="54" xfId="0" applyFont="1" applyFill="1" applyBorder="1" applyAlignment="1">
      <alignment horizontal="center" vertical="center"/>
    </xf>
    <xf numFmtId="169" fontId="24" fillId="8" borderId="63" xfId="0" applyNumberFormat="1" applyFont="1" applyFill="1" applyBorder="1" applyAlignment="1">
      <alignment horizontal="center" vertical="center"/>
    </xf>
    <xf numFmtId="0" fontId="8" fillId="8" borderId="54" xfId="0" applyFont="1" applyFill="1" applyBorder="1" applyAlignment="1">
      <alignment horizontal="center" vertical="center" wrapText="1"/>
    </xf>
    <xf numFmtId="0" fontId="25" fillId="8" borderId="54" xfId="0" applyFont="1" applyFill="1" applyBorder="1" applyAlignment="1">
      <alignment horizontal="center" vertical="center"/>
    </xf>
    <xf numFmtId="0" fontId="46" fillId="8" borderId="34" xfId="0" applyFont="1" applyFill="1" applyBorder="1" applyAlignment="1">
      <alignment horizontal="center" vertical="center"/>
    </xf>
    <xf numFmtId="0" fontId="6" fillId="8" borderId="34" xfId="0" applyFont="1" applyFill="1" applyBorder="1" applyAlignment="1">
      <alignment horizontal="center" vertical="center" wrapText="1"/>
    </xf>
    <xf numFmtId="169" fontId="3" fillId="8" borderId="40" xfId="0" applyNumberFormat="1" applyFont="1" applyFill="1" applyBorder="1" applyAlignment="1">
      <alignment horizontal="center" vertical="center" wrapText="1"/>
    </xf>
    <xf numFmtId="169" fontId="40" fillId="8" borderId="36" xfId="0" applyNumberFormat="1" applyFont="1" applyFill="1" applyBorder="1" applyAlignment="1">
      <alignment horizontal="center" vertical="center"/>
    </xf>
    <xf numFmtId="169" fontId="41" fillId="8" borderId="38" xfId="0" applyNumberFormat="1" applyFont="1" applyFill="1" applyBorder="1" applyAlignment="1">
      <alignment horizontal="center" vertical="center"/>
    </xf>
    <xf numFmtId="169" fontId="24" fillId="8" borderId="40" xfId="0" applyNumberFormat="1" applyFont="1" applyFill="1" applyBorder="1" applyAlignment="1">
      <alignment horizontal="center" vertical="center"/>
    </xf>
    <xf numFmtId="169" fontId="6" fillId="8" borderId="43" xfId="0" applyNumberFormat="1" applyFont="1" applyFill="1" applyBorder="1" applyAlignment="1">
      <alignment horizontal="center" vertical="center"/>
    </xf>
    <xf numFmtId="0" fontId="46" fillId="6" borderId="8" xfId="0" applyFont="1" applyFill="1" applyBorder="1" applyAlignment="1">
      <alignment horizontal="center" vertical="center"/>
    </xf>
    <xf numFmtId="0" fontId="6" fillId="6" borderId="8" xfId="0" applyFont="1" applyFill="1" applyBorder="1" applyAlignment="1">
      <alignment horizontal="center" vertical="center" wrapText="1"/>
    </xf>
    <xf numFmtId="1" fontId="3" fillId="6" borderId="22" xfId="0" applyNumberFormat="1" applyFont="1" applyFill="1" applyBorder="1" applyAlignment="1">
      <alignment horizontal="center" vertical="center" wrapText="1"/>
    </xf>
    <xf numFmtId="0" fontId="40" fillId="6" borderId="22" xfId="0" applyFont="1" applyFill="1" applyBorder="1" applyAlignment="1">
      <alignment horizontal="center" vertical="center" wrapText="1"/>
    </xf>
    <xf numFmtId="0" fontId="41" fillId="6" borderId="23" xfId="0" applyFont="1" applyFill="1" applyBorder="1" applyAlignment="1">
      <alignment horizontal="center" vertical="center" wrapText="1"/>
    </xf>
    <xf numFmtId="1" fontId="3" fillId="6" borderId="24" xfId="0" applyNumberFormat="1" applyFont="1" applyFill="1" applyBorder="1" applyAlignment="1">
      <alignment horizontal="center" vertical="center" wrapText="1"/>
    </xf>
    <xf numFmtId="0" fontId="24" fillId="6" borderId="24" xfId="0" applyFont="1" applyFill="1" applyBorder="1" applyAlignment="1">
      <alignment horizontal="center" vertical="center" wrapText="1"/>
    </xf>
    <xf numFmtId="1" fontId="8" fillId="6" borderId="22" xfId="0" applyNumberFormat="1"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42" xfId="0" applyFont="1" applyFill="1" applyBorder="1" applyAlignment="1">
      <alignment horizontal="center" vertical="center" wrapText="1"/>
    </xf>
    <xf numFmtId="0" fontId="3" fillId="6" borderId="22" xfId="0" applyFont="1" applyFill="1" applyBorder="1" applyAlignment="1">
      <alignment horizontal="center" vertical="center"/>
    </xf>
    <xf numFmtId="169" fontId="24" fillId="6" borderId="23" xfId="0" applyNumberFormat="1" applyFont="1" applyFill="1" applyBorder="1" applyAlignment="1">
      <alignment horizontal="center" vertical="center"/>
    </xf>
    <xf numFmtId="169" fontId="24" fillId="6" borderId="24" xfId="0" applyNumberFormat="1" applyFont="1" applyFill="1" applyBorder="1" applyAlignment="1">
      <alignment horizontal="center" vertical="center" wrapText="1"/>
    </xf>
    <xf numFmtId="1" fontId="24" fillId="6" borderId="23" xfId="0" applyNumberFormat="1" applyFont="1" applyFill="1" applyBorder="1" applyAlignment="1">
      <alignment horizontal="center" vertical="center" wrapText="1"/>
    </xf>
    <xf numFmtId="1" fontId="8" fillId="6" borderId="24" xfId="0" applyNumberFormat="1" applyFont="1" applyFill="1" applyBorder="1" applyAlignment="1">
      <alignment horizontal="center" vertical="center" wrapText="1"/>
    </xf>
    <xf numFmtId="1" fontId="25" fillId="6" borderId="23" xfId="0" applyNumberFormat="1" applyFont="1" applyFill="1" applyBorder="1" applyAlignment="1">
      <alignment horizontal="center" vertical="center"/>
    </xf>
    <xf numFmtId="0" fontId="40" fillId="6" borderId="22" xfId="0" applyFont="1" applyFill="1" applyBorder="1" applyAlignment="1">
      <alignment horizontal="center" vertical="center"/>
    </xf>
    <xf numFmtId="0" fontId="40" fillId="6" borderId="24" xfId="0" applyFont="1" applyFill="1" applyBorder="1" applyAlignment="1">
      <alignment horizontal="center" vertical="center" wrapText="1"/>
    </xf>
    <xf numFmtId="0" fontId="41" fillId="6" borderId="24"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33" xfId="0" applyFont="1" applyFill="1" applyBorder="1" applyAlignment="1">
      <alignment horizontal="center" vertical="center" wrapText="1"/>
    </xf>
    <xf numFmtId="0" fontId="33" fillId="7" borderId="33" xfId="0" applyFont="1" applyFill="1" applyBorder="1" applyAlignment="1">
      <alignment horizontal="center" vertical="center" wrapText="1"/>
    </xf>
    <xf numFmtId="0" fontId="33" fillId="7" borderId="8" xfId="0" applyFont="1" applyFill="1" applyBorder="1" applyAlignment="1">
      <alignment horizontal="center" vertical="center" wrapText="1"/>
    </xf>
    <xf numFmtId="0" fontId="41" fillId="6" borderId="24" xfId="0" applyFont="1" applyFill="1" applyBorder="1" applyAlignment="1">
      <alignment horizontal="center" vertical="center" wrapText="1"/>
    </xf>
    <xf numFmtId="0" fontId="41" fillId="6" borderId="42" xfId="0" applyFont="1" applyFill="1" applyBorder="1" applyAlignment="1">
      <alignment horizontal="center" vertical="center" wrapText="1"/>
    </xf>
    <xf numFmtId="164" fontId="8" fillId="6" borderId="8" xfId="0" applyNumberFormat="1" applyFont="1" applyFill="1" applyBorder="1" applyAlignment="1">
      <alignment vertical="center" wrapText="1"/>
    </xf>
    <xf numFmtId="164" fontId="8" fillId="6" borderId="34" xfId="0" applyNumberFormat="1" applyFont="1" applyFill="1" applyBorder="1" applyAlignment="1">
      <alignment vertical="center" wrapText="1"/>
    </xf>
    <xf numFmtId="164" fontId="8" fillId="6" borderId="8" xfId="0" applyNumberFormat="1" applyFont="1" applyFill="1" applyBorder="1" applyAlignment="1">
      <alignment vertical="center"/>
    </xf>
    <xf numFmtId="0" fontId="6" fillId="9" borderId="45" xfId="0" applyFont="1" applyFill="1" applyBorder="1" applyAlignment="1">
      <alignment horizontal="left" vertical="center"/>
    </xf>
    <xf numFmtId="0" fontId="14" fillId="9" borderId="46" xfId="0" applyFont="1" applyFill="1" applyBorder="1" applyAlignment="1">
      <alignment horizontal="left" vertical="center"/>
    </xf>
    <xf numFmtId="0" fontId="3" fillId="6" borderId="77" xfId="0" applyFont="1" applyFill="1" applyBorder="1"/>
    <xf numFmtId="0" fontId="3" fillId="10" borderId="75" xfId="0" applyFont="1" applyFill="1" applyBorder="1"/>
    <xf numFmtId="0" fontId="46" fillId="9" borderId="33" xfId="0" applyFont="1" applyFill="1" applyBorder="1" applyAlignment="1">
      <alignment horizontal="center" vertical="center" wrapText="1"/>
    </xf>
    <xf numFmtId="0" fontId="46" fillId="9" borderId="8" xfId="0" applyFont="1" applyFill="1" applyBorder="1" applyAlignment="1">
      <alignment horizontal="center" vertical="center" wrapText="1"/>
    </xf>
    <xf numFmtId="0" fontId="24" fillId="8" borderId="40" xfId="0" applyFont="1" applyFill="1" applyBorder="1" applyAlignment="1">
      <alignment horizontal="center" vertical="center" wrapText="1"/>
    </xf>
    <xf numFmtId="0" fontId="3" fillId="0" borderId="33" xfId="0" applyFont="1" applyBorder="1" applyAlignment="1">
      <alignment horizontal="center" vertical="center" wrapText="1"/>
    </xf>
    <xf numFmtId="0" fontId="8" fillId="0" borderId="35" xfId="0" applyFont="1" applyBorder="1" applyAlignment="1">
      <alignment horizontal="right" vertical="center" wrapText="1"/>
    </xf>
    <xf numFmtId="0" fontId="3" fillId="3" borderId="39" xfId="0" applyFont="1" applyFill="1" applyBorder="1" applyAlignment="1">
      <alignment horizontal="right" vertical="center" wrapText="1"/>
    </xf>
    <xf numFmtId="0" fontId="24" fillId="3" borderId="37"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8" fillId="3" borderId="39" xfId="0" applyFont="1" applyFill="1" applyBorder="1" applyAlignment="1">
      <alignment horizontal="right" vertical="center" wrapText="1"/>
    </xf>
    <xf numFmtId="0" fontId="24" fillId="3" borderId="41" xfId="0" applyFont="1" applyFill="1" applyBorder="1" applyAlignment="1">
      <alignment horizontal="right" vertical="center" wrapText="1"/>
    </xf>
    <xf numFmtId="164" fontId="8" fillId="10" borderId="8" xfId="0" applyNumberFormat="1" applyFont="1" applyFill="1" applyBorder="1" applyAlignment="1">
      <alignment horizontal="right" vertical="center"/>
    </xf>
    <xf numFmtId="164" fontId="8" fillId="6" borderId="8" xfId="0" applyNumberFormat="1" applyFont="1" applyFill="1" applyBorder="1" applyAlignment="1">
      <alignment horizontal="right" vertical="center"/>
    </xf>
    <xf numFmtId="164" fontId="8" fillId="6" borderId="34" xfId="0" applyNumberFormat="1" applyFont="1" applyFill="1" applyBorder="1" applyAlignment="1">
      <alignment horizontal="right" vertical="center"/>
    </xf>
    <xf numFmtId="164" fontId="8" fillId="2" borderId="8" xfId="0" applyNumberFormat="1" applyFont="1" applyFill="1" applyBorder="1" applyAlignment="1">
      <alignment horizontal="right" vertical="center"/>
    </xf>
    <xf numFmtId="164" fontId="3" fillId="2" borderId="8" xfId="0" applyNumberFormat="1" applyFont="1" applyFill="1" applyBorder="1" applyAlignment="1">
      <alignment horizontal="right" vertical="center"/>
    </xf>
    <xf numFmtId="164" fontId="8" fillId="8" borderId="8" xfId="0" applyNumberFormat="1" applyFont="1" applyFill="1" applyBorder="1" applyAlignment="1">
      <alignment horizontal="right" vertical="center"/>
    </xf>
    <xf numFmtId="164" fontId="8" fillId="8" borderId="34" xfId="0" applyNumberFormat="1" applyFont="1" applyFill="1" applyBorder="1" applyAlignment="1">
      <alignment horizontal="right" vertical="center"/>
    </xf>
    <xf numFmtId="164" fontId="8" fillId="0" borderId="8" xfId="0" applyNumberFormat="1" applyFont="1" applyBorder="1" applyAlignment="1">
      <alignment horizontal="right" vertical="center"/>
    </xf>
    <xf numFmtId="164" fontId="8" fillId="0" borderId="34" xfId="0" applyNumberFormat="1" applyFont="1" applyBorder="1" applyAlignment="1">
      <alignment horizontal="right" vertical="center"/>
    </xf>
    <xf numFmtId="164" fontId="30" fillId="0" borderId="8" xfId="0" applyNumberFormat="1" applyFont="1" applyBorder="1" applyAlignment="1">
      <alignment horizontal="right" vertical="center"/>
    </xf>
    <xf numFmtId="164" fontId="30" fillId="0" borderId="34" xfId="0" applyNumberFormat="1" applyFont="1" applyBorder="1" applyAlignment="1">
      <alignment horizontal="right" vertical="center"/>
    </xf>
    <xf numFmtId="164" fontId="16" fillId="2" borderId="8" xfId="0" applyNumberFormat="1" applyFont="1" applyFill="1" applyBorder="1" applyAlignment="1">
      <alignment horizontal="right" vertical="center"/>
    </xf>
    <xf numFmtId="168" fontId="8" fillId="10" borderId="8" xfId="0" applyNumberFormat="1" applyFont="1" applyFill="1" applyBorder="1" applyAlignment="1">
      <alignment horizontal="right" vertical="center"/>
    </xf>
    <xf numFmtId="168" fontId="8" fillId="10" borderId="34" xfId="0" applyNumberFormat="1" applyFont="1" applyFill="1" applyBorder="1" applyAlignment="1">
      <alignment horizontal="right" vertical="center"/>
    </xf>
    <xf numFmtId="164" fontId="16" fillId="2" borderId="48" xfId="0" applyNumberFormat="1" applyFont="1" applyFill="1" applyBorder="1" applyAlignment="1">
      <alignment horizontal="right" vertical="center"/>
    </xf>
    <xf numFmtId="164" fontId="8" fillId="6" borderId="48" xfId="0" applyNumberFormat="1" applyFont="1" applyFill="1" applyBorder="1" applyAlignment="1">
      <alignment horizontal="right" vertical="center"/>
    </xf>
    <xf numFmtId="164" fontId="30" fillId="0" borderId="48" xfId="0" applyNumberFormat="1" applyFont="1" applyBorder="1" applyAlignment="1">
      <alignment horizontal="right" vertical="center"/>
    </xf>
    <xf numFmtId="164" fontId="30" fillId="0" borderId="49" xfId="0" applyNumberFormat="1" applyFont="1" applyBorder="1" applyAlignment="1">
      <alignment horizontal="right" vertical="center"/>
    </xf>
    <xf numFmtId="164" fontId="8" fillId="0" borderId="8" xfId="0" applyNumberFormat="1" applyFont="1" applyBorder="1" applyAlignment="1">
      <alignment horizontal="right" vertical="center" wrapText="1"/>
    </xf>
    <xf numFmtId="164" fontId="8" fillId="0" borderId="34" xfId="0" applyNumberFormat="1" applyFont="1" applyBorder="1" applyAlignment="1">
      <alignment horizontal="right" vertical="center" wrapText="1"/>
    </xf>
    <xf numFmtId="169" fontId="3" fillId="8" borderId="40" xfId="0" applyNumberFormat="1" applyFont="1" applyFill="1" applyBorder="1" applyAlignment="1">
      <alignment horizontal="center" vertical="center"/>
    </xf>
    <xf numFmtId="0" fontId="24" fillId="3" borderId="23" xfId="0" applyFont="1" applyFill="1" applyBorder="1" applyAlignment="1">
      <alignment horizontal="justify" vertical="center" wrapText="1"/>
    </xf>
    <xf numFmtId="171" fontId="8" fillId="8" borderId="40" xfId="0" applyNumberFormat="1" applyFont="1" applyFill="1" applyBorder="1" applyAlignment="1">
      <alignment horizontal="center" vertical="center" wrapText="1"/>
    </xf>
    <xf numFmtId="0" fontId="25" fillId="3" borderId="23" xfId="0" applyFont="1" applyFill="1" applyBorder="1" applyAlignment="1">
      <alignment horizontal="justify" vertical="center" wrapText="1"/>
    </xf>
    <xf numFmtId="0" fontId="43" fillId="0" borderId="0" xfId="0" applyFont="1" applyAlignment="1">
      <alignment vertical="center"/>
    </xf>
    <xf numFmtId="0" fontId="22" fillId="0" borderId="0" xfId="0" applyFont="1" applyAlignment="1">
      <alignment vertical="center"/>
    </xf>
    <xf numFmtId="0" fontId="13" fillId="0" borderId="0" xfId="0" applyFont="1" applyAlignment="1">
      <alignment vertical="center"/>
    </xf>
    <xf numFmtId="0" fontId="44" fillId="0" borderId="0" xfId="0" applyFont="1" applyAlignment="1">
      <alignment vertical="center"/>
    </xf>
    <xf numFmtId="0" fontId="3" fillId="0" borderId="0" xfId="0" applyFont="1" applyAlignment="1">
      <alignment horizontal="right" vertical="center"/>
    </xf>
    <xf numFmtId="0" fontId="3" fillId="3" borderId="28" xfId="0" applyFont="1" applyFill="1" applyBorder="1" applyAlignment="1">
      <alignment horizontal="right" vertical="center" wrapText="1"/>
    </xf>
    <xf numFmtId="0" fontId="24" fillId="3" borderId="18" xfId="0" applyFont="1" applyFill="1" applyBorder="1" applyAlignment="1">
      <alignment horizontal="right" vertical="center" wrapText="1"/>
    </xf>
    <xf numFmtId="0" fontId="4" fillId="0" borderId="0" xfId="1" applyFont="1" applyFill="1" applyBorder="1" applyAlignment="1" applyProtection="1">
      <alignment vertical="center"/>
    </xf>
    <xf numFmtId="0" fontId="5" fillId="0" borderId="0" xfId="0" applyFont="1" applyAlignment="1">
      <alignment vertical="center"/>
    </xf>
    <xf numFmtId="0" fontId="3" fillId="7" borderId="8" xfId="0" applyFont="1" applyFill="1" applyBorder="1" applyAlignment="1">
      <alignment horizontal="left" vertical="center" wrapText="1"/>
    </xf>
    <xf numFmtId="0" fontId="24" fillId="3" borderId="23" xfId="0" applyFont="1" applyFill="1" applyBorder="1" applyAlignment="1">
      <alignment vertical="center" wrapText="1"/>
    </xf>
    <xf numFmtId="0" fontId="3" fillId="3" borderId="27" xfId="0" applyFont="1" applyFill="1" applyBorder="1" applyAlignment="1">
      <alignment vertical="center" wrapText="1"/>
    </xf>
    <xf numFmtId="0" fontId="3" fillId="3" borderId="28" xfId="0" applyFont="1" applyFill="1" applyBorder="1" applyAlignment="1">
      <alignment vertical="center" wrapText="1"/>
    </xf>
    <xf numFmtId="0" fontId="3" fillId="3" borderId="15" xfId="0" applyFont="1" applyFill="1" applyBorder="1" applyAlignment="1">
      <alignment vertical="center" wrapText="1"/>
    </xf>
    <xf numFmtId="0" fontId="3" fillId="3" borderId="65" xfId="0" applyFont="1" applyFill="1" applyBorder="1" applyAlignment="1">
      <alignment vertical="center" wrapText="1"/>
    </xf>
    <xf numFmtId="0" fontId="3" fillId="3" borderId="66" xfId="0" applyFont="1" applyFill="1" applyBorder="1" applyAlignment="1">
      <alignment vertical="center" wrapText="1"/>
    </xf>
    <xf numFmtId="169" fontId="24" fillId="6" borderId="42" xfId="0" applyNumberFormat="1" applyFont="1" applyFill="1" applyBorder="1" applyAlignment="1">
      <alignment horizontal="center" vertical="center" wrapText="1"/>
    </xf>
    <xf numFmtId="0" fontId="25" fillId="8" borderId="67" xfId="0" applyFont="1" applyFill="1" applyBorder="1" applyAlignment="1">
      <alignment horizontal="center" vertical="center" wrapText="1"/>
    </xf>
    <xf numFmtId="0" fontId="22" fillId="0" borderId="0" xfId="0" applyFont="1" applyAlignment="1">
      <alignment vertical="center" wrapText="1"/>
    </xf>
    <xf numFmtId="0" fontId="26" fillId="0" borderId="0" xfId="0" applyFont="1" applyAlignment="1">
      <alignment horizontal="left" vertical="center" wrapText="1"/>
    </xf>
    <xf numFmtId="0" fontId="26" fillId="0" borderId="0" xfId="0" applyFont="1" applyAlignment="1">
      <alignment vertical="center"/>
    </xf>
    <xf numFmtId="164" fontId="8" fillId="6" borderId="8" xfId="0" applyNumberFormat="1" applyFont="1" applyFill="1" applyBorder="1" applyAlignment="1">
      <alignment horizontal="center" vertical="center"/>
    </xf>
    <xf numFmtId="164" fontId="3" fillId="8" borderId="8" xfId="0" applyNumberFormat="1" applyFont="1" applyFill="1" applyBorder="1" applyAlignment="1">
      <alignment horizontal="center" vertical="center"/>
    </xf>
    <xf numFmtId="0" fontId="3" fillId="0" borderId="0" xfId="0" quotePrefix="1" applyFont="1" applyAlignment="1">
      <alignment horizontal="right" vertical="center"/>
    </xf>
    <xf numFmtId="164" fontId="3" fillId="6" borderId="8" xfId="0" applyNumberFormat="1" applyFont="1" applyFill="1" applyBorder="1" applyAlignment="1">
      <alignment horizontal="center" vertical="center"/>
    </xf>
    <xf numFmtId="164" fontId="8" fillId="8" borderId="8" xfId="0" applyNumberFormat="1" applyFont="1" applyFill="1" applyBorder="1" applyAlignment="1">
      <alignment horizontal="center" vertical="center"/>
    </xf>
    <xf numFmtId="0" fontId="16"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right" vertical="center" wrapText="1"/>
    </xf>
    <xf numFmtId="164" fontId="3" fillId="0" borderId="8" xfId="0" applyNumberFormat="1" applyFont="1" applyBorder="1" applyAlignment="1">
      <alignment horizontal="center" vertical="center"/>
    </xf>
    <xf numFmtId="164" fontId="3" fillId="0" borderId="20"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8" fontId="3" fillId="0" borderId="0" xfId="0" applyNumberFormat="1" applyFont="1" applyAlignment="1">
      <alignment horizontal="center" vertical="center"/>
    </xf>
    <xf numFmtId="0" fontId="3" fillId="0" borderId="0" xfId="0" applyFont="1" applyAlignment="1">
      <alignment vertical="center" wrapText="1"/>
    </xf>
    <xf numFmtId="0" fontId="5" fillId="0" borderId="0" xfId="0" applyFont="1" applyAlignment="1">
      <alignment horizontal="left" vertical="center"/>
    </xf>
    <xf numFmtId="0" fontId="29" fillId="0" borderId="0" xfId="0" applyFont="1" applyAlignment="1">
      <alignment vertical="center"/>
    </xf>
    <xf numFmtId="1" fontId="29" fillId="0" borderId="0" xfId="0" applyNumberFormat="1" applyFont="1" applyAlignment="1">
      <alignment horizontal="center" vertical="center"/>
    </xf>
    <xf numFmtId="0" fontId="8" fillId="0" borderId="0" xfId="0" applyFont="1" applyAlignment="1">
      <alignment vertical="center"/>
    </xf>
    <xf numFmtId="0" fontId="8" fillId="3" borderId="22" xfId="0" applyFont="1" applyFill="1" applyBorder="1" applyAlignment="1">
      <alignment vertical="center" wrapText="1"/>
    </xf>
    <xf numFmtId="0" fontId="8" fillId="3" borderId="28" xfId="0" applyFont="1" applyFill="1" applyBorder="1" applyAlignment="1">
      <alignment vertical="center" wrapText="1"/>
    </xf>
    <xf numFmtId="0" fontId="18" fillId="0" borderId="0" xfId="0" applyFont="1" applyAlignment="1">
      <alignment vertical="center"/>
    </xf>
    <xf numFmtId="164" fontId="8" fillId="6" borderId="80" xfId="0" applyNumberFormat="1" applyFont="1" applyFill="1" applyBorder="1" applyAlignment="1">
      <alignment horizontal="center" vertical="center"/>
    </xf>
    <xf numFmtId="172" fontId="8" fillId="6" borderId="8" xfId="0" applyNumberFormat="1" applyFont="1" applyFill="1" applyBorder="1" applyAlignment="1">
      <alignment horizontal="center" vertical="center"/>
    </xf>
    <xf numFmtId="172" fontId="8" fillId="8" borderId="82" xfId="0" applyNumberFormat="1" applyFont="1" applyFill="1" applyBorder="1" applyAlignment="1">
      <alignment horizontal="center" vertical="center"/>
    </xf>
    <xf numFmtId="0" fontId="38" fillId="0" borderId="0" xfId="1" applyFont="1" applyFill="1" applyBorder="1" applyAlignment="1" applyProtection="1">
      <alignment horizontal="left" vertical="center"/>
    </xf>
    <xf numFmtId="0" fontId="3" fillId="0" borderId="8" xfId="0" applyFont="1" applyBorder="1" applyAlignment="1">
      <alignment vertical="center" wrapText="1"/>
    </xf>
    <xf numFmtId="0" fontId="3" fillId="7" borderId="82" xfId="0" applyFont="1" applyFill="1" applyBorder="1" applyAlignment="1">
      <alignment horizontal="center" vertical="center" wrapText="1"/>
    </xf>
    <xf numFmtId="0" fontId="24" fillId="0" borderId="8" xfId="0" applyFont="1" applyBorder="1" applyAlignment="1">
      <alignment horizontal="center" vertical="center" wrapText="1"/>
    </xf>
    <xf numFmtId="165" fontId="8" fillId="0" borderId="48" xfId="0" applyNumberFormat="1" applyFont="1" applyBorder="1" applyAlignment="1">
      <alignment horizontal="center" vertical="center"/>
    </xf>
    <xf numFmtId="0" fontId="3" fillId="6" borderId="82" xfId="0" applyFont="1" applyFill="1" applyBorder="1" applyAlignment="1">
      <alignment horizontal="center" vertical="center" wrapText="1"/>
    </xf>
    <xf numFmtId="0" fontId="3" fillId="8" borderId="82" xfId="0" applyFont="1" applyFill="1" applyBorder="1" applyAlignment="1">
      <alignment horizontal="center" vertical="center" wrapText="1"/>
    </xf>
    <xf numFmtId="0" fontId="87" fillId="0" borderId="82" xfId="0" applyFont="1" applyBorder="1" applyAlignment="1">
      <alignment vertical="center" wrapText="1"/>
    </xf>
    <xf numFmtId="0" fontId="40" fillId="3" borderId="24" xfId="0" applyFont="1" applyFill="1" applyBorder="1" applyAlignment="1">
      <alignment vertical="center"/>
    </xf>
    <xf numFmtId="0" fontId="41" fillId="3" borderId="23" xfId="0" applyFont="1" applyFill="1" applyBorder="1" applyAlignment="1">
      <alignment vertical="center"/>
    </xf>
    <xf numFmtId="0" fontId="40" fillId="3" borderId="22" xfId="0" applyFont="1" applyFill="1" applyBorder="1" applyAlignment="1">
      <alignment vertical="center"/>
    </xf>
    <xf numFmtId="0" fontId="85" fillId="3" borderId="24" xfId="0" applyFont="1" applyFill="1" applyBorder="1" applyAlignment="1">
      <alignment horizontal="right" vertical="top"/>
    </xf>
    <xf numFmtId="0" fontId="86" fillId="3" borderId="23" xfId="0" applyFont="1" applyFill="1" applyBorder="1" applyAlignment="1">
      <alignment horizontal="right" vertical="top"/>
    </xf>
    <xf numFmtId="0" fontId="40" fillId="3" borderId="24" xfId="0" applyFont="1" applyFill="1" applyBorder="1" applyAlignment="1">
      <alignment horizontal="right" vertical="center"/>
    </xf>
    <xf numFmtId="0" fontId="41" fillId="3" borderId="23" xfId="0" applyFont="1" applyFill="1" applyBorder="1" applyAlignment="1">
      <alignment horizontal="right" vertical="center"/>
    </xf>
    <xf numFmtId="0" fontId="8" fillId="54" borderId="85" xfId="0" applyFont="1" applyFill="1" applyBorder="1" applyAlignment="1">
      <alignment horizontal="center" vertical="center" wrapText="1"/>
    </xf>
    <xf numFmtId="0" fontId="8" fillId="11" borderId="0" xfId="0" applyFont="1" applyFill="1" applyAlignment="1">
      <alignment horizontal="center" vertical="center" wrapText="1"/>
    </xf>
    <xf numFmtId="0" fontId="8" fillId="11" borderId="85" xfId="0" applyFont="1" applyFill="1" applyBorder="1" applyAlignment="1">
      <alignment horizontal="center" vertical="center" wrapText="1"/>
    </xf>
    <xf numFmtId="0" fontId="8" fillId="53" borderId="85" xfId="0" applyFont="1" applyFill="1" applyBorder="1" applyAlignment="1">
      <alignment horizontal="center" vertical="center" wrapText="1"/>
    </xf>
    <xf numFmtId="0" fontId="8" fillId="53" borderId="28" xfId="0" applyFont="1" applyFill="1" applyBorder="1" applyAlignment="1">
      <alignment horizontal="center" vertical="center" wrapText="1"/>
    </xf>
    <xf numFmtId="0" fontId="8" fillId="54" borderId="0" xfId="0" applyFont="1" applyFill="1" applyAlignment="1">
      <alignment horizontal="center" vertical="center" wrapText="1"/>
    </xf>
    <xf numFmtId="0" fontId="8" fillId="53" borderId="0" xfId="0" applyFont="1" applyFill="1" applyAlignment="1">
      <alignment horizontal="center" vertical="center" wrapText="1"/>
    </xf>
    <xf numFmtId="0" fontId="8" fillId="53" borderId="15" xfId="0" applyFont="1" applyFill="1" applyBorder="1" applyAlignment="1">
      <alignment horizontal="center" vertical="center" wrapText="1"/>
    </xf>
    <xf numFmtId="0" fontId="89" fillId="54" borderId="0" xfId="0" applyFont="1" applyFill="1" applyAlignment="1">
      <alignment horizontal="center" vertical="center" wrapText="1"/>
    </xf>
    <xf numFmtId="0" fontId="8" fillId="54" borderId="15" xfId="0" applyFont="1" applyFill="1" applyBorder="1" applyAlignment="1">
      <alignment horizontal="center" vertical="center" wrapText="1"/>
    </xf>
    <xf numFmtId="0" fontId="8" fillId="54" borderId="17" xfId="0" applyFont="1" applyFill="1" applyBorder="1" applyAlignment="1">
      <alignment horizontal="center" vertical="center" wrapText="1"/>
    </xf>
    <xf numFmtId="0" fontId="89" fillId="54" borderId="17" xfId="0" applyFont="1" applyFill="1" applyBorder="1" applyAlignment="1">
      <alignment horizontal="center" vertical="center" wrapText="1"/>
    </xf>
    <xf numFmtId="0" fontId="8" fillId="54" borderId="18" xfId="0" applyFont="1" applyFill="1" applyBorder="1" applyAlignment="1">
      <alignment horizontal="center" vertical="center" wrapText="1"/>
    </xf>
    <xf numFmtId="0" fontId="8" fillId="0" borderId="0" xfId="0" applyFont="1" applyAlignment="1">
      <alignment horizontal="center" vertical="center" wrapText="1"/>
    </xf>
    <xf numFmtId="0" fontId="8" fillId="3" borderId="0" xfId="0" applyFont="1" applyFill="1" applyAlignment="1">
      <alignment horizontal="center" vertical="center" wrapText="1"/>
    </xf>
    <xf numFmtId="0" fontId="3" fillId="3" borderId="17" xfId="0" applyFont="1" applyFill="1" applyBorder="1" applyAlignment="1">
      <alignment horizontal="center" vertical="center" wrapText="1"/>
    </xf>
    <xf numFmtId="14" fontId="90" fillId="0" borderId="85" xfId="0" applyNumberFormat="1" applyFont="1" applyBorder="1" applyAlignment="1">
      <alignment horizontal="center" vertical="center" wrapText="1"/>
    </xf>
    <xf numFmtId="0" fontId="91" fillId="0" borderId="8" xfId="0" applyFont="1" applyBorder="1" applyAlignment="1">
      <alignment vertical="center" wrapText="1"/>
    </xf>
    <xf numFmtId="0" fontId="51" fillId="54" borderId="27" xfId="0" applyFont="1" applyFill="1" applyBorder="1" applyAlignment="1">
      <alignment horizontal="center" vertical="center"/>
    </xf>
    <xf numFmtId="0" fontId="51" fillId="54" borderId="28" xfId="0" applyFont="1" applyFill="1" applyBorder="1" applyAlignment="1">
      <alignment horizontal="center" vertical="center"/>
    </xf>
    <xf numFmtId="0" fontId="52" fillId="11" borderId="14" xfId="0" applyFont="1" applyFill="1" applyBorder="1" applyAlignment="1">
      <alignment horizontal="center" vertical="center"/>
    </xf>
    <xf numFmtId="0" fontId="52" fillId="11" borderId="15" xfId="0" applyFont="1" applyFill="1" applyBorder="1" applyAlignment="1">
      <alignment horizontal="center" vertical="center"/>
    </xf>
    <xf numFmtId="0" fontId="3" fillId="53" borderId="14" xfId="0" applyFont="1" applyFill="1" applyBorder="1" applyAlignment="1">
      <alignment horizontal="center" vertical="center"/>
    </xf>
    <xf numFmtId="0" fontId="3" fillId="53" borderId="15" xfId="0" applyFont="1" applyFill="1" applyBorder="1" applyAlignment="1">
      <alignment horizontal="center" vertical="center"/>
    </xf>
    <xf numFmtId="3" fontId="0" fillId="0" borderId="0" xfId="0" applyNumberFormat="1"/>
    <xf numFmtId="14" fontId="92" fillId="0" borderId="8" xfId="0" applyNumberFormat="1" applyFont="1" applyBorder="1" applyAlignment="1">
      <alignment horizontal="center" vertical="center" wrapText="1"/>
    </xf>
    <xf numFmtId="14" fontId="92" fillId="3" borderId="8" xfId="0" applyNumberFormat="1" applyFont="1" applyFill="1" applyBorder="1" applyAlignment="1">
      <alignment horizontal="center" vertical="center" wrapText="1"/>
    </xf>
    <xf numFmtId="14" fontId="93" fillId="0" borderId="8" xfId="0" applyNumberFormat="1" applyFont="1" applyBorder="1" applyAlignment="1">
      <alignment horizontal="center" vertical="center" wrapText="1"/>
    </xf>
    <xf numFmtId="164" fontId="8" fillId="0" borderId="34" xfId="0" applyNumberFormat="1" applyFont="1" applyBorder="1" applyAlignment="1">
      <alignment vertical="center"/>
    </xf>
    <xf numFmtId="164" fontId="3" fillId="6" borderId="82" xfId="0" applyNumberFormat="1" applyFont="1" applyFill="1" applyBorder="1" applyAlignment="1">
      <alignment horizontal="center" vertical="center" wrapText="1"/>
    </xf>
    <xf numFmtId="164" fontId="3" fillId="8" borderId="82" xfId="0" applyNumberFormat="1" applyFont="1" applyFill="1" applyBorder="1" applyAlignment="1">
      <alignment horizontal="center" vertical="center" wrapText="1"/>
    </xf>
    <xf numFmtId="0" fontId="33" fillId="4" borderId="9" xfId="0" applyFont="1" applyFill="1" applyBorder="1" applyAlignment="1">
      <alignment horizontal="center"/>
    </xf>
    <xf numFmtId="0" fontId="33" fillId="4" borderId="10" xfId="0" applyFont="1" applyFill="1" applyBorder="1" applyAlignment="1">
      <alignment horizontal="center"/>
    </xf>
    <xf numFmtId="0" fontId="33" fillId="4" borderId="11" xfId="0" applyFont="1" applyFill="1" applyBorder="1" applyAlignment="1">
      <alignment horizontal="center"/>
    </xf>
    <xf numFmtId="0" fontId="34" fillId="5" borderId="14" xfId="0" applyFont="1" applyFill="1" applyBorder="1" applyAlignment="1">
      <alignment horizontal="center" vertical="center" wrapText="1"/>
    </xf>
    <xf numFmtId="0" fontId="34" fillId="5" borderId="0" xfId="0" applyFont="1" applyFill="1" applyAlignment="1">
      <alignment horizontal="center" vertical="center" wrapText="1"/>
    </xf>
    <xf numFmtId="14" fontId="33" fillId="0" borderId="14" xfId="0" applyNumberFormat="1" applyFont="1" applyBorder="1" applyAlignment="1">
      <alignment horizontal="center"/>
    </xf>
    <xf numFmtId="0" fontId="33" fillId="0" borderId="0" xfId="0" applyFont="1" applyAlignment="1">
      <alignment horizontal="center"/>
    </xf>
    <xf numFmtId="0" fontId="34" fillId="5" borderId="14" xfId="0" applyFont="1" applyFill="1" applyBorder="1" applyAlignment="1">
      <alignment horizontal="left" indent="2"/>
    </xf>
    <xf numFmtId="0" fontId="34" fillId="5" borderId="0" xfId="0" applyFont="1" applyFill="1" applyAlignment="1">
      <alignment horizontal="left" indent="2"/>
    </xf>
    <xf numFmtId="0" fontId="40" fillId="7" borderId="59" xfId="0" applyFont="1" applyFill="1" applyBorder="1" applyAlignment="1">
      <alignment horizontal="right" vertical="center" wrapText="1"/>
    </xf>
    <xf numFmtId="0" fontId="40" fillId="7" borderId="6" xfId="0" applyFont="1" applyFill="1" applyBorder="1" applyAlignment="1">
      <alignment horizontal="right" vertical="center" wrapText="1"/>
    </xf>
    <xf numFmtId="0" fontId="40" fillId="7" borderId="60" xfId="0" applyFont="1" applyFill="1" applyBorder="1" applyAlignment="1">
      <alignment horizontal="right" vertical="center" wrapText="1"/>
    </xf>
    <xf numFmtId="0" fontId="3" fillId="6" borderId="72" xfId="0" applyFont="1" applyFill="1" applyBorder="1" applyAlignment="1">
      <alignment horizontal="center" vertical="center" wrapText="1"/>
    </xf>
    <xf numFmtId="0" fontId="3" fillId="6" borderId="73" xfId="0" applyFont="1" applyFill="1" applyBorder="1" applyAlignment="1">
      <alignment horizontal="center" vertical="center" wrapText="1"/>
    </xf>
    <xf numFmtId="0" fontId="3" fillId="8" borderId="71" xfId="0" applyFont="1" applyFill="1" applyBorder="1" applyAlignment="1">
      <alignment horizontal="center" vertical="center" wrapText="1"/>
    </xf>
    <xf numFmtId="0" fontId="3" fillId="8" borderId="74" xfId="0" applyFont="1" applyFill="1" applyBorder="1" applyAlignment="1">
      <alignment horizontal="center" vertical="center" wrapText="1"/>
    </xf>
    <xf numFmtId="0" fontId="3" fillId="3" borderId="33"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4" fillId="3" borderId="39" xfId="0" applyFont="1" applyFill="1" applyBorder="1" applyAlignment="1">
      <alignment horizontal="right" vertical="center" wrapText="1"/>
    </xf>
    <xf numFmtId="0" fontId="24" fillId="3" borderId="37" xfId="0" applyFont="1" applyFill="1" applyBorder="1" applyAlignment="1">
      <alignment horizontal="right" vertical="center" wrapText="1"/>
    </xf>
    <xf numFmtId="0" fontId="3" fillId="3" borderId="39" xfId="0" applyFont="1" applyFill="1" applyBorder="1" applyAlignment="1">
      <alignment horizontal="right" vertical="center" wrapText="1"/>
    </xf>
    <xf numFmtId="0" fontId="3" fillId="3" borderId="55" xfId="0" applyFont="1" applyFill="1" applyBorder="1" applyAlignment="1">
      <alignment horizontal="right" vertical="center" wrapText="1"/>
    </xf>
    <xf numFmtId="0" fontId="3" fillId="3" borderId="56" xfId="0" applyFont="1" applyFill="1" applyBorder="1" applyAlignment="1">
      <alignment horizontal="right" vertical="center" wrapText="1"/>
    </xf>
    <xf numFmtId="0" fontId="40" fillId="7" borderId="50" xfId="0" applyFont="1" applyFill="1" applyBorder="1" applyAlignment="1">
      <alignment horizontal="left" vertical="center" wrapText="1"/>
    </xf>
    <xf numFmtId="0" fontId="40" fillId="7" borderId="51" xfId="0" applyFont="1" applyFill="1" applyBorder="1" applyAlignment="1">
      <alignment horizontal="left" vertical="center" wrapText="1"/>
    </xf>
    <xf numFmtId="0" fontId="40" fillId="7" borderId="52" xfId="0" applyFont="1" applyFill="1" applyBorder="1" applyAlignment="1">
      <alignment horizontal="left" vertical="center" wrapText="1"/>
    </xf>
    <xf numFmtId="0" fontId="40" fillId="7" borderId="53" xfId="0" applyFont="1" applyFill="1" applyBorder="1" applyAlignment="1">
      <alignment horizontal="right" vertical="center" wrapText="1"/>
    </xf>
    <xf numFmtId="0" fontId="40" fillId="7" borderId="0" xfId="0" applyFont="1" applyFill="1" applyAlignment="1">
      <alignment horizontal="right" vertical="center" wrapText="1"/>
    </xf>
    <xf numFmtId="0" fontId="40" fillId="7" borderId="54" xfId="0"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24" fillId="3" borderId="57" xfId="0" applyFont="1" applyFill="1" applyBorder="1" applyAlignment="1">
      <alignment horizontal="right" vertical="center" wrapText="1"/>
    </xf>
    <xf numFmtId="0" fontId="24" fillId="3" borderId="58" xfId="0" applyFont="1" applyFill="1" applyBorder="1" applyAlignment="1">
      <alignment horizontal="right" vertical="center" wrapText="1"/>
    </xf>
    <xf numFmtId="0" fontId="8" fillId="3" borderId="22"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24" fillId="0" borderId="0" xfId="0" applyFont="1" applyAlignment="1">
      <alignment horizontal="left"/>
    </xf>
    <xf numFmtId="0" fontId="27" fillId="0" borderId="0" xfId="0" applyFont="1" applyAlignment="1">
      <alignment horizontal="left"/>
    </xf>
    <xf numFmtId="0" fontId="40" fillId="9" borderId="44" xfId="0" applyFont="1" applyFill="1" applyBorder="1" applyAlignment="1">
      <alignment horizontal="left" vertical="center" wrapText="1"/>
    </xf>
    <xf numFmtId="0" fontId="40" fillId="9" borderId="45" xfId="0" applyFont="1" applyFill="1" applyBorder="1" applyAlignment="1">
      <alignment horizontal="left" vertical="center" wrapText="1"/>
    </xf>
    <xf numFmtId="0" fontId="40" fillId="9" borderId="46" xfId="0" applyFont="1" applyFill="1" applyBorder="1" applyAlignment="1">
      <alignment horizontal="left" vertical="center" wrapText="1"/>
    </xf>
    <xf numFmtId="0" fontId="3" fillId="0" borderId="33" xfId="0" applyFont="1" applyBorder="1" applyAlignment="1">
      <alignment vertical="center" wrapText="1"/>
    </xf>
    <xf numFmtId="0" fontId="3" fillId="0" borderId="33" xfId="0" applyFont="1" applyBorder="1" applyAlignment="1">
      <alignment vertical="center"/>
    </xf>
    <xf numFmtId="0" fontId="8" fillId="0" borderId="8" xfId="0" applyFont="1" applyBorder="1" applyAlignment="1">
      <alignment horizontal="left" vertical="center"/>
    </xf>
    <xf numFmtId="0" fontId="8" fillId="0" borderId="33" xfId="0" applyFont="1" applyBorder="1" applyAlignment="1">
      <alignment vertical="center" wrapText="1"/>
    </xf>
    <xf numFmtId="0" fontId="8" fillId="0" borderId="33" xfId="0" applyFont="1" applyBorder="1" applyAlignment="1">
      <alignment vertical="center"/>
    </xf>
    <xf numFmtId="0" fontId="3" fillId="0" borderId="33"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0" applyFont="1" applyBorder="1" applyAlignment="1">
      <alignment horizontal="left" vertical="center"/>
    </xf>
    <xf numFmtId="0" fontId="24" fillId="0" borderId="0" xfId="0" applyFont="1" applyAlignment="1">
      <alignment horizontal="left" wrapText="1"/>
    </xf>
    <xf numFmtId="0" fontId="25" fillId="0" borderId="8"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8" xfId="0" applyFont="1" applyBorder="1" applyAlignment="1">
      <alignment horizontal="left" vertical="center" wrapText="1"/>
    </xf>
    <xf numFmtId="0" fontId="3" fillId="0" borderId="33" xfId="0" applyFont="1" applyBorder="1" applyAlignment="1">
      <alignment horizontal="center" vertical="center"/>
    </xf>
    <xf numFmtId="0" fontId="3" fillId="6" borderId="8" xfId="0" applyFont="1" applyFill="1" applyBorder="1" applyAlignment="1">
      <alignment horizontal="center" vertical="center" wrapText="1"/>
    </xf>
    <xf numFmtId="0" fontId="3" fillId="0" borderId="0" xfId="0" applyFont="1" applyAlignment="1">
      <alignment horizontal="left" vertical="center"/>
    </xf>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8" fillId="0" borderId="33" xfId="0" applyFont="1" applyBorder="1" applyAlignment="1">
      <alignment horizontal="left" vertical="center" wrapText="1"/>
    </xf>
    <xf numFmtId="0" fontId="8" fillId="0" borderId="33" xfId="0" applyFont="1" applyBorder="1" applyAlignment="1">
      <alignment horizontal="left" vertical="center"/>
    </xf>
    <xf numFmtId="0" fontId="33" fillId="0" borderId="35" xfId="0" applyFont="1" applyBorder="1" applyAlignment="1">
      <alignment horizontal="center" vertical="top"/>
    </xf>
    <xf numFmtId="0" fontId="33" fillId="0" borderId="39" xfId="0" applyFont="1" applyBorder="1" applyAlignment="1">
      <alignment horizontal="center" vertical="top"/>
    </xf>
    <xf numFmtId="0" fontId="33" fillId="0" borderId="41" xfId="0" applyFont="1" applyBorder="1" applyAlignment="1">
      <alignment horizontal="center" vertical="top"/>
    </xf>
    <xf numFmtId="0" fontId="8" fillId="3" borderId="22" xfId="0" applyFont="1" applyFill="1" applyBorder="1" applyAlignment="1">
      <alignment horizontal="justify" vertical="center" wrapText="1"/>
    </xf>
    <xf numFmtId="0" fontId="8" fillId="3" borderId="24" xfId="0" applyFont="1" applyFill="1" applyBorder="1" applyAlignment="1">
      <alignment horizontal="justify" vertical="center" wrapText="1"/>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3" xfId="0" applyFont="1" applyBorder="1" applyAlignment="1">
      <alignment horizontal="center" vertical="center" wrapText="1"/>
    </xf>
    <xf numFmtId="0" fontId="33" fillId="0" borderId="37" xfId="0" applyFont="1" applyBorder="1" applyAlignment="1">
      <alignment horizontal="center" vertical="top"/>
    </xf>
    <xf numFmtId="0" fontId="3" fillId="3" borderId="22" xfId="0" applyFont="1" applyFill="1" applyBorder="1" applyAlignment="1">
      <alignment horizontal="justify" vertical="center" wrapText="1"/>
    </xf>
    <xf numFmtId="0" fontId="3" fillId="3" borderId="24" xfId="0" applyFont="1" applyFill="1" applyBorder="1" applyAlignment="1">
      <alignment horizontal="justify"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41" fillId="3" borderId="24" xfId="0" applyFont="1" applyFill="1" applyBorder="1" applyAlignment="1">
      <alignment horizontal="left" vertical="center" wrapText="1"/>
    </xf>
    <xf numFmtId="0" fontId="41" fillId="3" borderId="42" xfId="0" applyFont="1" applyFill="1" applyBorder="1" applyAlignment="1">
      <alignment horizontal="left" vertical="center" wrapText="1"/>
    </xf>
    <xf numFmtId="0" fontId="38" fillId="0" borderId="0" xfId="1" applyFont="1" applyFill="1" applyBorder="1" applyAlignment="1" applyProtection="1">
      <alignment horizontal="left" vertical="center"/>
    </xf>
    <xf numFmtId="0" fontId="40" fillId="7" borderId="30" xfId="0" applyFont="1" applyFill="1" applyBorder="1" applyAlignment="1">
      <alignment horizontal="left" vertical="center" wrapText="1"/>
    </xf>
    <xf numFmtId="0" fontId="40" fillId="7" borderId="31" xfId="0" applyFont="1" applyFill="1" applyBorder="1" applyAlignment="1">
      <alignment horizontal="left" vertical="center"/>
    </xf>
    <xf numFmtId="0" fontId="40" fillId="7" borderId="32" xfId="0" applyFont="1" applyFill="1" applyBorder="1" applyAlignment="1">
      <alignment horizontal="left" vertical="center"/>
    </xf>
    <xf numFmtId="0" fontId="8" fillId="7" borderId="8" xfId="0" applyFont="1" applyFill="1" applyBorder="1" applyAlignment="1">
      <alignment horizontal="center" vertical="center" wrapText="1"/>
    </xf>
    <xf numFmtId="0" fontId="8" fillId="7" borderId="34" xfId="0" applyFont="1" applyFill="1" applyBorder="1" applyAlignment="1">
      <alignment horizontal="center" vertical="center"/>
    </xf>
    <xf numFmtId="0" fontId="3" fillId="0" borderId="33" xfId="0" applyFont="1" applyBorder="1" applyAlignment="1">
      <alignment horizontal="right" vertical="center" wrapText="1"/>
    </xf>
    <xf numFmtId="0" fontId="3" fillId="0" borderId="8" xfId="0" applyFont="1" applyBorder="1" applyAlignment="1">
      <alignment horizontal="right" vertical="center" wrapText="1"/>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43" fillId="0" borderId="0" xfId="0" applyFont="1" applyAlignment="1">
      <alignment horizontal="left" vertical="center" wrapText="1"/>
    </xf>
    <xf numFmtId="0" fontId="3" fillId="0" borderId="83" xfId="0" applyFont="1" applyBorder="1" applyAlignment="1">
      <alignment horizontal="center" vertical="center"/>
    </xf>
    <xf numFmtId="0" fontId="3" fillId="0" borderId="84" xfId="0" applyFont="1" applyBorder="1" applyAlignment="1">
      <alignment horizontal="center" vertical="center"/>
    </xf>
    <xf numFmtId="172" fontId="8" fillId="0" borderId="83" xfId="0" applyNumberFormat="1" applyFont="1" applyBorder="1" applyAlignment="1">
      <alignment horizontal="center" vertical="center"/>
    </xf>
    <xf numFmtId="172" fontId="8" fillId="0" borderId="84" xfId="0" applyNumberFormat="1" applyFont="1" applyBorder="1" applyAlignment="1">
      <alignment horizontal="center" vertical="center"/>
    </xf>
    <xf numFmtId="0" fontId="3" fillId="3" borderId="22" xfId="0" applyFont="1" applyFill="1" applyBorder="1" applyAlignment="1">
      <alignment horizontal="center" vertical="center" wrapText="1"/>
    </xf>
    <xf numFmtId="0" fontId="3" fillId="3" borderId="36" xfId="0" applyFont="1" applyFill="1" applyBorder="1" applyAlignment="1">
      <alignment horizontal="center" vertical="center" wrapText="1"/>
    </xf>
    <xf numFmtId="172" fontId="3" fillId="0" borderId="83" xfId="0" applyNumberFormat="1" applyFont="1" applyBorder="1" applyAlignment="1">
      <alignment horizontal="center" vertical="center"/>
    </xf>
    <xf numFmtId="172" fontId="3" fillId="0" borderId="84" xfId="0" applyNumberFormat="1" applyFont="1" applyBorder="1" applyAlignment="1">
      <alignment horizontal="center" vertical="center"/>
    </xf>
    <xf numFmtId="0" fontId="40" fillId="3" borderId="22" xfId="0" applyFont="1" applyFill="1" applyBorder="1" applyAlignment="1">
      <alignment horizontal="justify" vertical="center" wrapText="1"/>
    </xf>
    <xf numFmtId="0" fontId="40" fillId="3" borderId="24" xfId="0" applyFont="1" applyFill="1" applyBorder="1" applyAlignment="1">
      <alignment horizontal="justify" vertical="center"/>
    </xf>
    <xf numFmtId="0" fontId="8" fillId="0" borderId="42" xfId="0" applyFont="1" applyBorder="1" applyAlignment="1">
      <alignment horizontal="center" vertical="center" wrapText="1"/>
    </xf>
    <xf numFmtId="0" fontId="24" fillId="3" borderId="23"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4" fillId="0" borderId="7" xfId="0" applyFont="1" applyBorder="1" applyAlignment="1">
      <alignment horizontal="left" vertical="center" wrapText="1"/>
    </xf>
    <xf numFmtId="0" fontId="3" fillId="10" borderId="8" xfId="0" applyFont="1" applyFill="1" applyBorder="1" applyAlignment="1">
      <alignment horizontal="center" vertical="center"/>
    </xf>
    <xf numFmtId="0" fontId="3" fillId="0" borderId="8" xfId="0" applyFont="1" applyBorder="1" applyAlignment="1">
      <alignment horizontal="center" vertical="center"/>
    </xf>
    <xf numFmtId="2" fontId="3" fillId="6" borderId="8" xfId="0" applyNumberFormat="1" applyFont="1" applyFill="1" applyBorder="1" applyAlignment="1">
      <alignment horizontal="center" vertical="center" wrapText="1"/>
    </xf>
    <xf numFmtId="164" fontId="8" fillId="6" borderId="8" xfId="0" applyNumberFormat="1" applyFont="1" applyFill="1" applyBorder="1" applyAlignment="1">
      <alignment horizontal="center" vertical="center"/>
    </xf>
    <xf numFmtId="164" fontId="8" fillId="6" borderId="80" xfId="0" applyNumberFormat="1" applyFont="1" applyFill="1" applyBorder="1" applyAlignment="1">
      <alignment horizontal="center" vertical="center"/>
    </xf>
    <xf numFmtId="164" fontId="8" fillId="6" borderId="82" xfId="0" applyNumberFormat="1" applyFont="1" applyFill="1" applyBorder="1" applyAlignment="1">
      <alignment horizontal="center" vertical="center"/>
    </xf>
    <xf numFmtId="0" fontId="38" fillId="0" borderId="0" xfId="1" applyFont="1" applyFill="1" applyBorder="1" applyAlignment="1" applyProtection="1">
      <alignment horizontal="left"/>
    </xf>
    <xf numFmtId="0" fontId="3"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45" fillId="0" borderId="35" xfId="0" applyFont="1" applyBorder="1" applyAlignment="1">
      <alignment horizontal="center" vertical="top"/>
    </xf>
    <xf numFmtId="0" fontId="45" fillId="0" borderId="39" xfId="0" applyFont="1" applyBorder="1" applyAlignment="1">
      <alignment horizontal="center" vertical="top"/>
    </xf>
    <xf numFmtId="0" fontId="45" fillId="0" borderId="37" xfId="0" applyFont="1" applyBorder="1" applyAlignment="1">
      <alignment horizontal="center" vertical="top"/>
    </xf>
    <xf numFmtId="0" fontId="45" fillId="0" borderId="55" xfId="0" applyFont="1" applyBorder="1" applyAlignment="1">
      <alignment horizontal="center" vertical="top"/>
    </xf>
    <xf numFmtId="0" fontId="45" fillId="0" borderId="61" xfId="0" applyFont="1" applyBorder="1" applyAlignment="1">
      <alignment horizontal="center" vertical="top"/>
    </xf>
    <xf numFmtId="0" fontId="45" fillId="0" borderId="58" xfId="0" applyFont="1" applyBorder="1" applyAlignment="1">
      <alignment horizontal="center" vertical="top"/>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9" xfId="0" applyFont="1" applyBorder="1" applyAlignment="1">
      <alignment horizontal="center" vertical="center" wrapText="1"/>
    </xf>
    <xf numFmtId="0" fontId="3" fillId="3" borderId="2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0" xfId="0" applyFont="1" applyFill="1" applyAlignment="1">
      <alignment horizontal="left" vertical="center" wrapText="1"/>
    </xf>
    <xf numFmtId="0" fontId="3" fillId="0" borderId="24" xfId="0" applyFont="1" applyBorder="1" applyAlignment="1">
      <alignment horizontal="center" vertical="center"/>
    </xf>
    <xf numFmtId="0" fontId="41" fillId="3" borderId="23"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64" xfId="0" applyFont="1" applyFill="1" applyBorder="1" applyAlignment="1">
      <alignment horizontal="left" vertical="center" wrapText="1"/>
    </xf>
    <xf numFmtId="0" fontId="33" fillId="7" borderId="22" xfId="0" applyFont="1" applyFill="1" applyBorder="1" applyAlignment="1">
      <alignment horizontal="center" vertical="center" wrapText="1"/>
    </xf>
    <xf numFmtId="0" fontId="33" fillId="7" borderId="36" xfId="0" applyFont="1" applyFill="1" applyBorder="1" applyAlignment="1">
      <alignment horizontal="center" vertical="center"/>
    </xf>
    <xf numFmtId="0" fontId="33" fillId="7" borderId="8" xfId="0" applyFont="1" applyFill="1" applyBorder="1" applyAlignment="1">
      <alignment horizontal="center" vertical="center" wrapText="1"/>
    </xf>
    <xf numFmtId="0" fontId="33" fillId="7" borderId="8" xfId="0" applyFont="1" applyFill="1" applyBorder="1" applyAlignment="1">
      <alignment horizontal="center" vertical="center"/>
    </xf>
    <xf numFmtId="0" fontId="33" fillId="0" borderId="57" xfId="0" applyFont="1" applyBorder="1" applyAlignment="1">
      <alignment horizontal="center" vertical="top"/>
    </xf>
    <xf numFmtId="0" fontId="33" fillId="0" borderId="61" xfId="0" applyFont="1" applyBorder="1" applyAlignment="1">
      <alignment horizontal="center" vertical="top"/>
    </xf>
    <xf numFmtId="0" fontId="33" fillId="0" borderId="56" xfId="0" applyFont="1" applyBorder="1" applyAlignment="1">
      <alignment horizontal="center" vertical="top"/>
    </xf>
    <xf numFmtId="0" fontId="33" fillId="0" borderId="68" xfId="0" applyFont="1" applyBorder="1" applyAlignment="1">
      <alignment horizontal="center" vertical="top"/>
    </xf>
    <xf numFmtId="0" fontId="41" fillId="3" borderId="69" xfId="0" applyFont="1" applyFill="1" applyBorder="1" applyAlignment="1">
      <alignment horizontal="justify" vertical="center" wrapText="1"/>
    </xf>
    <xf numFmtId="0" fontId="40" fillId="3" borderId="70" xfId="0" applyFont="1" applyFill="1" applyBorder="1" applyAlignment="1">
      <alignment horizontal="justify" vertical="center" wrapText="1"/>
    </xf>
    <xf numFmtId="0" fontId="8" fillId="3" borderId="28"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41" fillId="3" borderId="3" xfId="0" applyFont="1" applyFill="1" applyBorder="1" applyAlignment="1">
      <alignment horizontal="left" vertical="top" wrapText="1"/>
    </xf>
    <xf numFmtId="0" fontId="41" fillId="3" borderId="2" xfId="0" applyFont="1" applyFill="1" applyBorder="1" applyAlignment="1">
      <alignment horizontal="left" vertical="top" wrapText="1"/>
    </xf>
    <xf numFmtId="0" fontId="3" fillId="3" borderId="28"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24" xfId="0" applyFont="1" applyFill="1" applyBorder="1" applyAlignment="1">
      <alignment horizontal="center" vertical="center" wrapText="1"/>
    </xf>
    <xf numFmtId="0" fontId="41" fillId="3" borderId="3" xfId="0" applyFont="1" applyFill="1" applyBorder="1" applyAlignment="1">
      <alignment horizontal="left" vertical="center" wrapText="1"/>
    </xf>
    <xf numFmtId="0" fontId="41" fillId="3" borderId="2" xfId="0" applyFont="1" applyFill="1" applyBorder="1" applyAlignment="1">
      <alignment horizontal="left" vertical="center" wrapText="1"/>
    </xf>
    <xf numFmtId="0" fontId="24" fillId="3" borderId="15" xfId="0" applyFont="1" applyFill="1" applyBorder="1" applyAlignment="1">
      <alignment horizontal="left" vertical="top" wrapText="1"/>
    </xf>
    <xf numFmtId="0" fontId="24" fillId="3" borderId="18" xfId="0" applyFont="1" applyFill="1" applyBorder="1" applyAlignment="1">
      <alignment horizontal="left" vertical="top" wrapText="1"/>
    </xf>
    <xf numFmtId="0" fontId="3" fillId="3" borderId="23" xfId="0" applyFont="1" applyFill="1" applyBorder="1" applyAlignment="1">
      <alignment horizontal="center" vertical="center" wrapText="1"/>
    </xf>
    <xf numFmtId="0" fontId="40" fillId="3" borderId="3" xfId="0" applyFont="1" applyFill="1" applyBorder="1" applyAlignment="1">
      <alignment horizontal="justify" vertical="center" wrapText="1"/>
    </xf>
    <xf numFmtId="0" fontId="40" fillId="3" borderId="2" xfId="0" applyFont="1" applyFill="1" applyBorder="1" applyAlignment="1">
      <alignment horizontal="justify" vertical="center" wrapText="1"/>
    </xf>
    <xf numFmtId="0" fontId="25" fillId="3" borderId="15" xfId="0" applyFont="1" applyFill="1" applyBorder="1" applyAlignment="1">
      <alignment horizontal="left" vertical="top" wrapText="1"/>
    </xf>
    <xf numFmtId="0" fontId="25" fillId="3" borderId="18" xfId="0" applyFont="1" applyFill="1" applyBorder="1" applyAlignment="1">
      <alignment horizontal="left" vertical="top" wrapText="1"/>
    </xf>
    <xf numFmtId="0" fontId="8" fillId="3" borderId="22"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3" xfId="0" applyFont="1" applyFill="1" applyBorder="1" applyAlignment="1">
      <alignment horizontal="center" vertical="center"/>
    </xf>
    <xf numFmtId="0" fontId="40" fillId="3" borderId="0" xfId="0" applyFont="1" applyFill="1" applyAlignment="1">
      <alignment horizontal="left" vertical="center" wrapText="1"/>
    </xf>
    <xf numFmtId="0" fontId="40" fillId="3" borderId="3" xfId="0" applyFont="1" applyFill="1" applyBorder="1" applyAlignment="1">
      <alignment horizontal="left" vertical="top" wrapText="1"/>
    </xf>
    <xf numFmtId="0" fontId="40" fillId="3" borderId="2" xfId="0" applyFont="1" applyFill="1" applyBorder="1" applyAlignment="1">
      <alignment horizontal="left" vertical="top" wrapText="1"/>
    </xf>
    <xf numFmtId="0" fontId="40" fillId="3" borderId="3" xfId="0" applyFont="1" applyFill="1" applyBorder="1" applyAlignment="1">
      <alignment horizontal="left" vertical="center" wrapText="1"/>
    </xf>
    <xf numFmtId="0" fontId="40" fillId="3" borderId="2" xfId="0" applyFont="1" applyFill="1" applyBorder="1" applyAlignment="1">
      <alignment horizontal="left" vertical="center" wrapText="1"/>
    </xf>
    <xf numFmtId="169" fontId="24" fillId="8" borderId="40" xfId="0" applyNumberFormat="1" applyFont="1" applyFill="1" applyBorder="1" applyAlignment="1">
      <alignment horizontal="center" vertical="center" wrapText="1"/>
    </xf>
    <xf numFmtId="169" fontId="24" fillId="8" borderId="38" xfId="0" applyNumberFormat="1" applyFont="1" applyFill="1" applyBorder="1" applyAlignment="1">
      <alignment horizontal="center" vertical="center" wrapText="1"/>
    </xf>
    <xf numFmtId="0" fontId="24" fillId="6" borderId="24"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48" fillId="9" borderId="8" xfId="0" applyFont="1" applyFill="1" applyBorder="1" applyAlignment="1">
      <alignment horizontal="center" vertical="center" wrapText="1"/>
    </xf>
    <xf numFmtId="0" fontId="48" fillId="9" borderId="34" xfId="0" applyFont="1" applyFill="1" applyBorder="1" applyAlignment="1">
      <alignment horizontal="center" vertical="center"/>
    </xf>
    <xf numFmtId="0" fontId="24" fillId="3" borderId="16" xfId="0" applyFont="1" applyFill="1" applyBorder="1" applyAlignment="1">
      <alignment horizontal="center" vertical="center" wrapText="1"/>
    </xf>
    <xf numFmtId="0" fontId="24" fillId="3" borderId="17" xfId="0" applyFont="1" applyFill="1" applyBorder="1" applyAlignment="1">
      <alignment horizontal="center" vertical="center" wrapText="1"/>
    </xf>
    <xf numFmtId="0" fontId="3" fillId="7" borderId="80" xfId="0" applyFont="1" applyFill="1" applyBorder="1" applyAlignment="1">
      <alignment horizontal="center" vertical="center" wrapText="1"/>
    </xf>
    <xf numFmtId="0" fontId="3" fillId="7" borderId="81" xfId="0" applyFont="1" applyFill="1" applyBorder="1" applyAlignment="1">
      <alignment horizontal="center" vertical="center" wrapText="1"/>
    </xf>
    <xf numFmtId="0" fontId="3" fillId="7" borderId="82"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85"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40" fillId="7" borderId="80" xfId="0" applyFont="1" applyFill="1" applyBorder="1" applyAlignment="1">
      <alignment horizontal="left" wrapText="1"/>
    </xf>
    <xf numFmtId="0" fontId="40" fillId="7" borderId="81" xfId="0" applyFont="1" applyFill="1" applyBorder="1" applyAlignment="1">
      <alignment horizontal="left" wrapText="1"/>
    </xf>
    <xf numFmtId="0" fontId="40" fillId="7" borderId="82" xfId="0" applyFont="1" applyFill="1" applyBorder="1" applyAlignment="1">
      <alignment horizontal="left" wrapText="1"/>
    </xf>
    <xf numFmtId="0" fontId="3" fillId="6" borderId="80" xfId="0" applyFont="1" applyFill="1" applyBorder="1" applyAlignment="1">
      <alignment horizontal="center" vertical="center" wrapText="1"/>
    </xf>
    <xf numFmtId="0" fontId="3" fillId="6" borderId="82" xfId="0" applyFont="1" applyFill="1" applyBorder="1" applyAlignment="1">
      <alignment horizontal="center" vertical="center" wrapText="1"/>
    </xf>
  </cellXfs>
  <cellStyles count="168">
    <cellStyle name="20% - Accent1" xfId="34" xr:uid="{A8C70C12-D39D-4B90-8689-C27F1C213DF8}"/>
    <cellStyle name="20% - Accent2" xfId="35" xr:uid="{E0AD10C1-A128-4F63-ADFD-33FF03EE6526}"/>
    <cellStyle name="20% - Accent3" xfId="36" xr:uid="{0A765F3B-0AE4-4B52-9114-10A4FD85B9BA}"/>
    <cellStyle name="20% - Accent4" xfId="37" xr:uid="{35ACE1CF-0A9E-4560-939A-69D0AE625BDD}"/>
    <cellStyle name="20% - Accent5" xfId="38" xr:uid="{C0E13891-DA09-45B5-9A7A-87A87A495206}"/>
    <cellStyle name="20% - Accent6" xfId="39" xr:uid="{FD211D50-A9BC-472E-A2AB-35C231081211}"/>
    <cellStyle name="40% - Accent1" xfId="40" xr:uid="{2956687D-1FD7-40AF-AF47-C503D3B4492F}"/>
    <cellStyle name="40% - Accent2" xfId="41" xr:uid="{AA88C5CA-BAE0-493D-911B-6515331FB1BC}"/>
    <cellStyle name="40% - Accent3" xfId="42" xr:uid="{50E92B24-92B5-48FE-A8EA-AB149CB6631A}"/>
    <cellStyle name="40% - Accent4" xfId="43" xr:uid="{32E442EE-0B27-4FB7-AA43-E1CE33B8E2FA}"/>
    <cellStyle name="40% - Accent5" xfId="44" xr:uid="{A3871DBD-1453-49A0-A616-FA950C7FD01C}"/>
    <cellStyle name="40% - Accent6" xfId="45" xr:uid="{03643006-EC58-4C0C-8873-1F00DC519637}"/>
    <cellStyle name="60% - Accent1" xfId="46" xr:uid="{A1824E0F-C34F-4456-B499-483C48F981C0}"/>
    <cellStyle name="60% - Accent2" xfId="47" xr:uid="{6723E262-3050-4328-8B7E-DAE6B01DCD94}"/>
    <cellStyle name="60% - Accent3" xfId="48" xr:uid="{C89314A5-22CC-4C03-9A27-DAA7DE60BB50}"/>
    <cellStyle name="60% - Accent4" xfId="49" xr:uid="{D672DFD6-DA83-451F-8E7E-DB09F5C69C94}"/>
    <cellStyle name="60% - Accent5" xfId="50" xr:uid="{9D671092-E937-4DC8-A73F-C847BF6F4302}"/>
    <cellStyle name="60% - Accent6" xfId="51" xr:uid="{42F0FC23-71A1-44CC-A2EA-861E676D03A3}"/>
    <cellStyle name="Accent1" xfId="52" xr:uid="{F0BBC7A6-A83B-4E11-92DF-6BC74AE098A1}"/>
    <cellStyle name="Accent1 - 20%" xfId="53" xr:uid="{B9947CA6-2B12-4716-A1D0-5566AA3AAF28}"/>
    <cellStyle name="Accent1 - 40%" xfId="54" xr:uid="{0829C357-8B27-4678-BEFB-DE4A4D30C72D}"/>
    <cellStyle name="Accent1 - 60%" xfId="55" xr:uid="{A4970B45-92B5-4B46-95FE-EB2519A9D1C3}"/>
    <cellStyle name="Accent2" xfId="56" xr:uid="{D7A015B8-F3EB-49E9-81E5-A9ED162D68F3}"/>
    <cellStyle name="Accent2 - 20%" xfId="57" xr:uid="{0791DD4A-5413-4692-9CD9-EDCB17A61116}"/>
    <cellStyle name="Accent2 - 40%" xfId="58" xr:uid="{3EC83528-6082-4AAA-907D-75C79C80FA9E}"/>
    <cellStyle name="Accent2 - 60%" xfId="59" xr:uid="{4335BEBB-C111-48F3-A389-392D282E1229}"/>
    <cellStyle name="Accent3" xfId="60" xr:uid="{FD1C2517-426D-41BA-8590-94F5D21D9FA1}"/>
    <cellStyle name="Accent3 - 20%" xfId="61" xr:uid="{0647EAEF-8423-455D-9373-385FBF99C013}"/>
    <cellStyle name="Accent3 - 40%" xfId="62" xr:uid="{BE171AD2-4E97-479E-A82D-4A9F9662363C}"/>
    <cellStyle name="Accent3 - 60%" xfId="63" xr:uid="{691263E7-4FEE-4CBC-9117-4271BF07746D}"/>
    <cellStyle name="Accent4" xfId="64" xr:uid="{CF7503CD-B9EF-41F0-A5DC-E4A6CFA21D8B}"/>
    <cellStyle name="Accent4 - 20%" xfId="65" xr:uid="{0BDC1CD4-5E0E-4703-99D6-B0405DEE4D30}"/>
    <cellStyle name="Accent4 - 40%" xfId="66" xr:uid="{1B82C9C2-35ED-4E29-82A9-23EDB5287CC5}"/>
    <cellStyle name="Accent4 - 60%" xfId="67" xr:uid="{335F6CA6-1533-41C9-9F86-AFAC60378D6F}"/>
    <cellStyle name="Accent5" xfId="68" xr:uid="{59CF52E5-2786-4B6E-8886-D6157531BA21}"/>
    <cellStyle name="Accent5 - 20%" xfId="69" xr:uid="{570DD030-B246-448C-B197-8AEA0D160C9A}"/>
    <cellStyle name="Accent5 - 40%" xfId="70" xr:uid="{EA510D03-7177-49A2-BE57-7B684DCC5308}"/>
    <cellStyle name="Accent5 - 60%" xfId="71" xr:uid="{C69D3AA8-3901-49CD-9A14-3F09D3B50875}"/>
    <cellStyle name="Accent6" xfId="72" xr:uid="{05BF3DBC-29F9-4336-A67A-5D77CC902F24}"/>
    <cellStyle name="Accent6 - 20%" xfId="73" xr:uid="{8CB94EF4-712E-4B3A-BCD3-1063BA29AB5F}"/>
    <cellStyle name="Accent6 - 40%" xfId="74" xr:uid="{F95DAEF7-9F4E-49F8-B5F9-4429A9398A2D}"/>
    <cellStyle name="Accent6 - 60%" xfId="75" xr:uid="{7E1ECEDC-29F8-4372-B619-8F96A677A7B8}"/>
    <cellStyle name="Bad" xfId="76" xr:uid="{4640ED2C-D2CE-4EBB-8DB9-5AD06ED97695}"/>
    <cellStyle name="Calculation" xfId="77" xr:uid="{968C96A6-1988-4DE7-9DA2-C4B43895B562}"/>
    <cellStyle name="Check Cell" xfId="78" xr:uid="{0E591AA3-38BE-43F1-8855-F534F319D61D}"/>
    <cellStyle name="Comma 2" xfId="14" xr:uid="{FDC88003-5077-4848-A48C-C4D808A0756C}"/>
    <cellStyle name="Comma 2 2" xfId="165" xr:uid="{AB9E6B9E-B0B7-4918-8018-FC98C6C37166}"/>
    <cellStyle name="Emphasis 1" xfId="79" xr:uid="{5745CBEC-8B94-41AF-8A61-DF032F744710}"/>
    <cellStyle name="Emphasis 2" xfId="80" xr:uid="{A463C08B-D265-4048-9D86-26A534F0A0B6}"/>
    <cellStyle name="Emphasis 3" xfId="81" xr:uid="{4F03D190-A7C4-4486-B4E6-27CB3808F61A}"/>
    <cellStyle name="Explanatory Text" xfId="82" xr:uid="{D04C769B-C3F2-415C-B7F5-51DA61B24560}"/>
    <cellStyle name="Good" xfId="83" xr:uid="{2A1AF742-AE36-42D5-953F-7D9C59875422}"/>
    <cellStyle name="Heading 1" xfId="84" xr:uid="{57EBA523-51DD-4FEC-BE10-2F76311299DC}"/>
    <cellStyle name="Heading 2" xfId="85" xr:uid="{7E71D5D3-0415-4A5A-9247-97266024F12C}"/>
    <cellStyle name="Heading 3" xfId="86" xr:uid="{27A39A44-DBA3-4EB5-9838-F78B75514651}"/>
    <cellStyle name="Heading 4" xfId="87" xr:uid="{7857811F-6181-4780-B35A-E11AB2CCF9F0}"/>
    <cellStyle name="Hipersaitas" xfId="1" builtinId="8"/>
    <cellStyle name="Hipersaitas 2" xfId="10" xr:uid="{096D2C8F-9EB9-436D-8A32-EDE783D2EAB7}"/>
    <cellStyle name="Hipersaitas 2 2" xfId="150" xr:uid="{B1C602C5-B4CA-419F-9316-0130831B8190}"/>
    <cellStyle name="Hipersaitas 3" xfId="166" xr:uid="{6359FEBF-C1B2-4C30-9F75-EDF8AF0ECB92}"/>
    <cellStyle name="Input" xfId="88" xr:uid="{2B725B48-1266-4CE1-B48F-68A70ADF2617}"/>
    <cellStyle name="Įprastas" xfId="0" builtinId="0"/>
    <cellStyle name="Įprastas 10" xfId="142" xr:uid="{EA2579AB-5633-4B5A-964A-CCB44B3A459C}"/>
    <cellStyle name="Įprastas 11" xfId="143" xr:uid="{D772C758-2887-4026-AF03-D633ED8118B2}"/>
    <cellStyle name="Įprastas 12" xfId="144" xr:uid="{93872DBC-66B3-4F30-A35E-E4A9BDB05C1E}"/>
    <cellStyle name="Įprastas 13" xfId="145" xr:uid="{C5B618A0-2234-4415-9B34-EF6414C1C7B2}"/>
    <cellStyle name="Įprastas 14" xfId="147" xr:uid="{7B92E3C7-D26A-49F6-A2BE-3F9BBC9E3D22}"/>
    <cellStyle name="Įprastas 15" xfId="149" xr:uid="{61702116-DAA4-44EE-BD37-4BEE8AC3535E}"/>
    <cellStyle name="Įprastas 15 2" xfId="155" xr:uid="{89ED5773-FED2-4033-B799-203634579D8E}"/>
    <cellStyle name="Įprastas 16" xfId="152" xr:uid="{19B8D2ED-F7D3-4771-B004-3FDEC3DCFBCC}"/>
    <cellStyle name="Įprastas 17" xfId="153" xr:uid="{B7C03552-2556-44D1-80A1-6A9B7120858E}"/>
    <cellStyle name="Įprastas 18" xfId="154" xr:uid="{95C6AD0A-A28D-4639-965E-9EEBBF818E02}"/>
    <cellStyle name="Įprastas 19" xfId="26" xr:uid="{5F5F6885-E6F5-4F96-ABDC-1A30E10DBAA2}"/>
    <cellStyle name="Įprastas 2" xfId="6" xr:uid="{C1665F56-0330-403D-B739-AC7AAF807FAB}"/>
    <cellStyle name="Įprastas 2 2" xfId="7" xr:uid="{595CEB3C-6F74-4AA0-BF79-63F3EE20B423}"/>
    <cellStyle name="Įprastas 2 2 2" xfId="21" xr:uid="{CAEA8CF0-F408-45BC-983A-918B2A236BD2}"/>
    <cellStyle name="Įprastas 2 2 2 2" xfId="25" xr:uid="{9A2E5154-FE69-4CBC-A9A6-77C174DE0505}"/>
    <cellStyle name="Įprastas 2 2 2 3" xfId="89" xr:uid="{814E2432-0EC7-4BA0-974A-87C5DC570590}"/>
    <cellStyle name="Įprastas 2 3" xfId="16" xr:uid="{1CA5A79E-B79C-4C2A-921E-33F3E467C3DD}"/>
    <cellStyle name="Įprastas 2 4" xfId="9" xr:uid="{E332973E-D39C-44E6-ADFC-7924A0610406}"/>
    <cellStyle name="Įprastas 20" xfId="161" xr:uid="{4176F0CD-58CF-4A5D-BF37-86ACDC45C327}"/>
    <cellStyle name="Įprastas 3" xfId="8" xr:uid="{9532CC19-640B-4D83-AA07-2B36C4853E51}"/>
    <cellStyle name="Įprastas 3 2" xfId="22" xr:uid="{AD5A99B0-3D84-49EA-85B5-DA5011478680}"/>
    <cellStyle name="Įprastas 3 3" xfId="17" xr:uid="{8688968F-816B-417E-8CE5-E70BC204478D}"/>
    <cellStyle name="Įprastas 3 4" xfId="12" xr:uid="{D82AA5E5-B954-4EC0-AA8C-7209F4F99A20}"/>
    <cellStyle name="Įprastas 4" xfId="13" xr:uid="{6031DA61-5BA2-44D9-BDB4-31C441B10415}"/>
    <cellStyle name="Įprastas 4 2" xfId="23" xr:uid="{72251AE7-5565-4955-A5D7-601BEB4F665D}"/>
    <cellStyle name="Įprastas 5" xfId="24" xr:uid="{EB877633-0517-4A84-BFB7-C1261DBBB660}"/>
    <cellStyle name="Įprastas 5 2" xfId="137" xr:uid="{B184F32C-3B15-437E-8D74-6DC600FC082F}"/>
    <cellStyle name="Įprastas 6" xfId="32" xr:uid="{8CB1C439-3E8A-48C8-A877-C0BE8B0DDF0E}"/>
    <cellStyle name="Įprastas 6 2" xfId="138" xr:uid="{BC94FC2E-D2EA-4CB7-B5E5-1468379252C9}"/>
    <cellStyle name="Įprastas 7" xfId="139" xr:uid="{57B0DD91-F984-40A3-B40E-CCC8673CC9CC}"/>
    <cellStyle name="Įprastas 8" xfId="140" xr:uid="{DAA6B141-D031-4197-B732-92B9773B54D6}"/>
    <cellStyle name="Įprastas 9" xfId="141" xr:uid="{96F4B1FC-54D0-46E0-88E1-7F959A0B5287}"/>
    <cellStyle name="Kablelis 2" xfId="19" xr:uid="{5FAFD0D5-4448-4F3F-B92A-B645ADA30275}"/>
    <cellStyle name="Kablelis 2 2" xfId="29" xr:uid="{6BC34967-A20C-4021-BB14-94F6743E868A}"/>
    <cellStyle name="Kablelis 3" xfId="27" xr:uid="{4A376E96-E747-47FE-9075-B3F25653BC2D}"/>
    <cellStyle name="Kablelis 4" xfId="33" xr:uid="{D4EC2106-34F3-4D3E-82AF-96B970F4D079}"/>
    <cellStyle name="Kablelis 5" xfId="151" xr:uid="{196AA3E8-E95A-43F4-B804-E9D07CCA2923}"/>
    <cellStyle name="Kablelis 6" xfId="159" xr:uid="{953C59EE-F1B9-4F0D-A52A-1096CE8B86A8}"/>
    <cellStyle name="Linked Cell" xfId="90" xr:uid="{5581DDCB-FEBF-40D4-B688-3E2A5072F46A}"/>
    <cellStyle name="Neutral" xfId="91" xr:uid="{948628D3-70D6-4BF6-B05F-01DD3DB48CAD}"/>
    <cellStyle name="Normal" xfId="160" xr:uid="{8A80E649-EADC-4B6D-9AEE-10489DCCC08D}"/>
    <cellStyle name="Normal 18" xfId="3" xr:uid="{1A4A2765-3B13-476A-B988-826493B987E5}"/>
    <cellStyle name="Normal 2" xfId="11" xr:uid="{2BF2F7F9-465A-4206-9805-852CA2C6ADC8}"/>
    <cellStyle name="Normal 2 2" xfId="167" xr:uid="{98E67926-25A0-4774-96BC-90074A3B355C}"/>
    <cellStyle name="Normal 2 3" xfId="31" xr:uid="{AED0EB15-0873-4B24-9BDF-45504D20311B}"/>
    <cellStyle name="Normal 3" xfId="20" xr:uid="{EA4C7393-6659-461B-AF8C-36246724B24F}"/>
    <cellStyle name="Normal 3 2" xfId="163" xr:uid="{92E643D6-D221-4671-8686-207908261DB8}"/>
    <cellStyle name="Normal 3 3" xfId="30" xr:uid="{C6FE94AD-36C9-4596-BAC9-A06EDD19BDA4}"/>
    <cellStyle name="Normal 4" xfId="4" xr:uid="{C366F9C7-F114-4B72-8C90-9D319E9CA060}"/>
    <cellStyle name="Normal 4 2" xfId="164" xr:uid="{20E87197-C559-48F4-B94F-5DB5298CBE13}"/>
    <cellStyle name="Normal 4 3" xfId="146" xr:uid="{01003D9B-72F4-480F-B5DA-E07A12C8C6F0}"/>
    <cellStyle name="Normal 45" xfId="15" xr:uid="{7063B5CC-2ED7-4C7C-861B-845E7C007ECA}"/>
    <cellStyle name="Normal 5" xfId="5" xr:uid="{2DD1DBB4-8FD1-4DD8-8AD9-21E3254968C6}"/>
    <cellStyle name="Normal 5 2" xfId="148" xr:uid="{1A1BCFAA-5AC1-4D62-8B76-F1ED2DD95B81}"/>
    <cellStyle name="Normal 6" xfId="2" xr:uid="{39C61853-18A8-4376-BEEE-408C39E94774}"/>
    <cellStyle name="Normal_____3lentelė - 2,3,4 lapai_3_variantas" xfId="28" xr:uid="{02E3F4CE-2B6B-4090-9989-50807FA89DC3}"/>
    <cellStyle name="Note" xfId="92" xr:uid="{A8468F02-144F-47F7-8C79-3A77DB304CA2}"/>
    <cellStyle name="Output" xfId="93" xr:uid="{CC2832B0-AD18-48EF-B1A5-B1FF9370D512}"/>
    <cellStyle name="Paprastas_2012-08-17_PIT_2013Egle" xfId="158" xr:uid="{BDC6FBCB-B3FB-4310-B95D-924DE0E88615}"/>
    <cellStyle name="Percent 2" xfId="18" xr:uid="{627AB059-A2FE-4B67-867A-58B258A6BB51}"/>
    <cellStyle name="Percent 2 2" xfId="162" xr:uid="{FFEE9E68-7AB2-4A16-83FE-84870C613F3E}"/>
    <cellStyle name="Procentai 2" xfId="157" xr:uid="{F73DE28A-E5F4-4349-B662-6FC3D0C401C9}"/>
    <cellStyle name="SAPBEXaggData" xfId="94" xr:uid="{282D9F30-727B-491D-A0A7-EF7BE3A66203}"/>
    <cellStyle name="SAPBEXaggDataEmph" xfId="95" xr:uid="{C9CE652E-47A5-4C32-879A-60AFF40FA6E9}"/>
    <cellStyle name="SAPBEXaggItem" xfId="96" xr:uid="{15547D8E-2630-4450-B979-5398CCD0672F}"/>
    <cellStyle name="SAPBEXaggItemX" xfId="97" xr:uid="{7F77938B-8CE7-47A9-A7EE-A5A02416FCBC}"/>
    <cellStyle name="SAPBEXchaText" xfId="98" xr:uid="{26977734-2B37-4BAB-A492-DBEF9CA0274D}"/>
    <cellStyle name="SAPBEXexcBad7" xfId="99" xr:uid="{92DD9B4E-62A6-42F2-B7FE-B126E2740EBF}"/>
    <cellStyle name="SAPBEXexcBad8" xfId="100" xr:uid="{DDA0A181-755B-4D2B-B31A-2622F2809EFC}"/>
    <cellStyle name="SAPBEXexcBad9" xfId="101" xr:uid="{67E5A756-49CA-410B-BC0C-FEACF0E766DB}"/>
    <cellStyle name="SAPBEXexcCritical4" xfId="102" xr:uid="{93C97DA9-B9D1-413D-909A-6C2B737EF84C}"/>
    <cellStyle name="SAPBEXexcCritical5" xfId="103" xr:uid="{4360EB37-55F8-4447-B9FE-425195531A24}"/>
    <cellStyle name="SAPBEXexcCritical6" xfId="104" xr:uid="{543360B9-0A0D-4EA2-916F-199CE5B38D6C}"/>
    <cellStyle name="SAPBEXexcGood1" xfId="105" xr:uid="{705555DE-F132-47B8-A36D-64761108B110}"/>
    <cellStyle name="SAPBEXexcGood2" xfId="106" xr:uid="{A4717BD7-383E-486B-972F-FAF7D672185D}"/>
    <cellStyle name="SAPBEXexcGood3" xfId="107" xr:uid="{0AF5E3ED-DE96-44BF-99DF-146D19BDCF15}"/>
    <cellStyle name="SAPBEXfilterDrill" xfId="108" xr:uid="{0871A94E-93A3-4CC0-B894-73FDA47A6189}"/>
    <cellStyle name="SAPBEXfilterItem" xfId="109" xr:uid="{21B91C42-38C3-44BC-A07A-473A334DE35E}"/>
    <cellStyle name="SAPBEXfilterText" xfId="110" xr:uid="{97749099-C728-4021-910D-03BF74C92D12}"/>
    <cellStyle name="SAPBEXformats" xfId="111" xr:uid="{0C0D1677-2771-4B0B-B52C-4A32C913AA06}"/>
    <cellStyle name="SAPBEXheaderItem" xfId="112" xr:uid="{B5A1EA3F-4D36-44AB-9841-FF434FB1604C}"/>
    <cellStyle name="SAPBEXheaderText" xfId="113" xr:uid="{6E94CD61-0A88-4838-A637-6DB1BDE6846C}"/>
    <cellStyle name="SAPBEXHLevel0" xfId="114" xr:uid="{9BE3A956-3A1C-40A1-A1D8-E64808A30FA0}"/>
    <cellStyle name="SAPBEXHLevel0X" xfId="115" xr:uid="{F3CE1660-E2E3-409F-AC54-FDEBCB0220D0}"/>
    <cellStyle name="SAPBEXHLevel1" xfId="116" xr:uid="{7295DD71-5CFC-492F-A497-C38829093A67}"/>
    <cellStyle name="SAPBEXHLevel1X" xfId="117" xr:uid="{D64A3360-D8F9-4F08-AE02-141FDECB51E6}"/>
    <cellStyle name="SAPBEXHLevel2" xfId="118" xr:uid="{5A3C8F20-7156-49DF-9A9F-FCDDD9EAB370}"/>
    <cellStyle name="SAPBEXHLevel2X" xfId="119" xr:uid="{FC378215-DCFD-4B3E-BE35-65F365B70C92}"/>
    <cellStyle name="SAPBEXHLevel3" xfId="120" xr:uid="{4130FC0D-6352-471B-850B-0AA6FEB2A276}"/>
    <cellStyle name="SAPBEXHLevel3X" xfId="121" xr:uid="{379EBB1E-C040-484A-8C9C-7E8B5B79F2D7}"/>
    <cellStyle name="SAPBEXinputData" xfId="122" xr:uid="{163BAD2E-DDF6-44BE-91F0-9D07B76622B5}"/>
    <cellStyle name="SAPBEXresData" xfId="123" xr:uid="{A1D9878D-EEBE-4A3B-A6DC-22B816F1F98B}"/>
    <cellStyle name="SAPBEXresDataEmph" xfId="124" xr:uid="{780DEDD1-E35D-4265-9220-832AA0080BC9}"/>
    <cellStyle name="SAPBEXresItem" xfId="125" xr:uid="{CA96ADC9-0A90-4631-A3A9-7A940DE18C85}"/>
    <cellStyle name="SAPBEXresItemX" xfId="126" xr:uid="{EA76435E-9745-4E9F-93C0-ABC423DA768D}"/>
    <cellStyle name="SAPBEXstdData" xfId="127" xr:uid="{AA8B9F03-484E-4FD7-A88E-D6EE36570D20}"/>
    <cellStyle name="SAPBEXstdDataEmph" xfId="128" xr:uid="{70F705EF-7193-46E9-8E72-FFC3AE270B3C}"/>
    <cellStyle name="SAPBEXstdItem" xfId="129" xr:uid="{F4019043-5E3E-4CDE-8707-BB189E2030C5}"/>
    <cellStyle name="SAPBEXstdItemX" xfId="130" xr:uid="{D006090E-48CA-4847-8668-2FC120A0EF3E}"/>
    <cellStyle name="SAPBEXtitle" xfId="131" xr:uid="{B31BE1FA-D92E-44F6-9598-4A13CB7B4C61}"/>
    <cellStyle name="SAPBEXundefined" xfId="132" xr:uid="{9BE512B3-9407-4519-AEFD-1B6A7246F149}"/>
    <cellStyle name="Sheet Title" xfId="133" xr:uid="{64EB1ED9-2ACC-448A-9284-9DCAF76AA974}"/>
    <cellStyle name="Stilius 1" xfId="156" xr:uid="{F9D4330F-6819-442A-A6B8-23B49D9FCE61}"/>
    <cellStyle name="Title" xfId="134" xr:uid="{379EB9AE-2A9B-47E0-99D5-D62B24F3BCA2}"/>
    <cellStyle name="Total" xfId="135" xr:uid="{565C4EDD-3B0F-4ED8-B7E0-94C692D5FB63}"/>
    <cellStyle name="Warning Text" xfId="136" xr:uid="{147C846F-0D8F-46E7-90FE-039538B59BA4}"/>
  </cellStyles>
  <dxfs count="0"/>
  <tableStyles count="0" defaultTableStyle="TableStyleMedium2" defaultPivotStyle="PivotStyleLight16"/>
  <colors>
    <mruColors>
      <color rgb="FFC9D6D9"/>
      <color rgb="FFB5DDF0"/>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0</xdr:row>
      <xdr:rowOff>144780</xdr:rowOff>
    </xdr:from>
    <xdr:to>
      <xdr:col>3</xdr:col>
      <xdr:colOff>2228806</xdr:colOff>
      <xdr:row>0</xdr:row>
      <xdr:rowOff>1203960</xdr:rowOff>
    </xdr:to>
    <xdr:pic>
      <xdr:nvPicPr>
        <xdr:cNvPr id="4" name="Paveikslėlis 3"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380" y="14478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B1:G36"/>
  <sheetViews>
    <sheetView showGridLines="0" showRowColHeaders="0" tabSelected="1" workbookViewId="0"/>
  </sheetViews>
  <sheetFormatPr defaultColWidth="10" defaultRowHeight="13.8"/>
  <cols>
    <col min="1" max="1" width="0.44140625" style="45" customWidth="1"/>
    <col min="2" max="2" width="3.5546875" style="45" customWidth="1"/>
    <col min="3" max="3" width="4.5546875" style="9" customWidth="1"/>
    <col min="4" max="4" width="99.6640625" style="9" customWidth="1"/>
    <col min="5" max="5" width="3.6640625" style="45" customWidth="1"/>
    <col min="6" max="6" width="10" style="45"/>
    <col min="7" max="7" width="10.5546875" style="45" customWidth="1"/>
    <col min="8" max="16384" width="10" style="45"/>
  </cols>
  <sheetData>
    <row r="1" spans="2:7" ht="109.5" customHeight="1" thickBot="1">
      <c r="B1" s="45" t="s">
        <v>341</v>
      </c>
      <c r="C1" s="317"/>
      <c r="D1" s="318"/>
      <c r="E1" s="319"/>
    </row>
    <row r="2" spans="2:7">
      <c r="C2" s="57"/>
      <c r="D2" s="58"/>
      <c r="E2" s="59"/>
    </row>
    <row r="3" spans="2:7" ht="35.25" customHeight="1">
      <c r="C3" s="320" t="s">
        <v>0</v>
      </c>
      <c r="D3" s="321"/>
      <c r="E3" s="60"/>
    </row>
    <row r="4" spans="2:7">
      <c r="C4" s="61"/>
      <c r="D4" s="62"/>
      <c r="E4" s="63"/>
    </row>
    <row r="5" spans="2:7" ht="16.2" customHeight="1">
      <c r="C5" s="322" t="s">
        <v>340</v>
      </c>
      <c r="D5" s="323"/>
      <c r="E5" s="63"/>
      <c r="G5" s="51"/>
    </row>
    <row r="6" spans="2:7">
      <c r="C6" s="61"/>
      <c r="D6" s="62"/>
      <c r="E6" s="63"/>
    </row>
    <row r="7" spans="2:7" ht="17.399999999999999">
      <c r="C7" s="324" t="s">
        <v>1</v>
      </c>
      <c r="D7" s="325"/>
      <c r="E7" s="64"/>
    </row>
    <row r="8" spans="2:7">
      <c r="C8" s="61"/>
      <c r="D8" s="62"/>
      <c r="E8" s="63"/>
    </row>
    <row r="9" spans="2:7" ht="171.75" customHeight="1">
      <c r="C9" s="61"/>
      <c r="D9" s="65" t="s">
        <v>271</v>
      </c>
      <c r="E9" s="66"/>
    </row>
    <row r="10" spans="2:7">
      <c r="C10" s="61"/>
      <c r="D10" s="62"/>
      <c r="E10" s="63"/>
    </row>
    <row r="11" spans="2:7" ht="17.399999999999999">
      <c r="C11" s="324" t="s">
        <v>272</v>
      </c>
      <c r="D11" s="325"/>
      <c r="E11" s="64"/>
    </row>
    <row r="12" spans="2:7">
      <c r="C12" s="61"/>
      <c r="D12" s="62"/>
      <c r="E12" s="63"/>
    </row>
    <row r="13" spans="2:7">
      <c r="C13" s="61"/>
      <c r="D13" s="67" t="s">
        <v>2</v>
      </c>
      <c r="E13" s="63"/>
    </row>
    <row r="14" spans="2:7">
      <c r="C14" s="61"/>
      <c r="D14" s="62"/>
      <c r="E14" s="63"/>
    </row>
    <row r="15" spans="2:7" ht="17.399999999999999">
      <c r="C15" s="324" t="s">
        <v>3</v>
      </c>
      <c r="D15" s="325"/>
      <c r="E15" s="64"/>
    </row>
    <row r="16" spans="2:7">
      <c r="C16" s="61"/>
      <c r="D16" s="62"/>
      <c r="E16" s="63"/>
    </row>
    <row r="17" spans="3:5">
      <c r="C17" s="61"/>
      <c r="D17" s="67" t="s">
        <v>4</v>
      </c>
      <c r="E17" s="63"/>
    </row>
    <row r="18" spans="3:5">
      <c r="C18" s="61"/>
      <c r="D18" s="67" t="s">
        <v>5</v>
      </c>
      <c r="E18" s="63"/>
    </row>
    <row r="19" spans="3:5">
      <c r="C19" s="61"/>
      <c r="D19" s="62"/>
      <c r="E19" s="63"/>
    </row>
    <row r="20" spans="3:5" ht="17.399999999999999">
      <c r="C20" s="324" t="s">
        <v>6</v>
      </c>
      <c r="D20" s="325"/>
      <c r="E20" s="64"/>
    </row>
    <row r="21" spans="3:5">
      <c r="C21" s="61"/>
      <c r="D21" s="62"/>
      <c r="E21" s="63"/>
    </row>
    <row r="22" spans="3:5">
      <c r="C22" s="61"/>
      <c r="D22" s="67" t="s">
        <v>7</v>
      </c>
      <c r="E22" s="63"/>
    </row>
    <row r="23" spans="3:5">
      <c r="C23" s="61"/>
      <c r="D23" s="67" t="s">
        <v>8</v>
      </c>
      <c r="E23" s="63"/>
    </row>
    <row r="24" spans="3:5">
      <c r="C24" s="61"/>
      <c r="D24" s="67" t="s">
        <v>9</v>
      </c>
      <c r="E24" s="63"/>
    </row>
    <row r="25" spans="3:5">
      <c r="C25" s="61"/>
      <c r="D25" s="62"/>
      <c r="E25" s="63"/>
    </row>
    <row r="26" spans="3:5" ht="15">
      <c r="C26" s="324" t="s">
        <v>303</v>
      </c>
      <c r="D26" s="325"/>
      <c r="E26" s="63"/>
    </row>
    <row r="27" spans="3:5">
      <c r="C27" s="61"/>
      <c r="D27" s="62"/>
      <c r="E27" s="63"/>
    </row>
    <row r="28" spans="3:5">
      <c r="C28" s="61"/>
      <c r="D28" s="67" t="s">
        <v>304</v>
      </c>
      <c r="E28" s="63"/>
    </row>
    <row r="29" spans="3:5">
      <c r="C29" s="61"/>
      <c r="D29" s="62"/>
      <c r="E29" s="63"/>
    </row>
    <row r="30" spans="3:5" ht="17.399999999999999">
      <c r="C30" s="324" t="s">
        <v>10</v>
      </c>
      <c r="D30" s="325"/>
      <c r="E30" s="64"/>
    </row>
    <row r="31" spans="3:5">
      <c r="C31" s="61"/>
      <c r="D31" s="62"/>
      <c r="E31" s="63"/>
    </row>
    <row r="32" spans="3:5">
      <c r="C32" s="61" t="s">
        <v>11</v>
      </c>
      <c r="D32" s="68" t="s">
        <v>12</v>
      </c>
      <c r="E32" s="63"/>
    </row>
    <row r="33" spans="3:5" ht="14.4">
      <c r="C33" s="69" t="s">
        <v>13</v>
      </c>
      <c r="D33" s="70" t="s">
        <v>14</v>
      </c>
      <c r="E33" s="63"/>
    </row>
    <row r="34" spans="3:5">
      <c r="C34" s="61" t="s">
        <v>15</v>
      </c>
      <c r="D34" s="68" t="s">
        <v>16</v>
      </c>
      <c r="E34" s="63"/>
    </row>
    <row r="35" spans="3:5" ht="14.4">
      <c r="C35" s="69" t="s">
        <v>17</v>
      </c>
      <c r="D35" s="70" t="s">
        <v>18</v>
      </c>
      <c r="E35" s="63"/>
    </row>
    <row r="36" spans="3:5" ht="9.6" customHeight="1" thickBot="1">
      <c r="C36" s="71"/>
      <c r="D36" s="72"/>
      <c r="E36" s="73"/>
    </row>
  </sheetData>
  <mergeCells count="9">
    <mergeCell ref="C1:E1"/>
    <mergeCell ref="C3:D3"/>
    <mergeCell ref="C5:D5"/>
    <mergeCell ref="C7:D7"/>
    <mergeCell ref="C30:D30"/>
    <mergeCell ref="C11:D11"/>
    <mergeCell ref="C15:D15"/>
    <mergeCell ref="C20:D20"/>
    <mergeCell ref="C26:D26"/>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32" r:id="rId1" display="http://www3.lrs.lt/pls/inter3/dokpaieska.showdoc_l?p_id=487268&amp;p_tr2=2" xr:uid="{DDC9A2C8-E1C0-4CF4-BC74-7FF78E256ED8}"/>
    <hyperlink ref="D34" r:id="rId2" display="Lietuvos Respublikos fiskalinės drausmės įstatymas" xr:uid="{F4FFA9C7-1444-4704-90F5-2ECFABD928E1}"/>
    <hyperlink ref="D35" r:id="rId3" xr:uid="{3C5B1BA1-E78A-448A-B1EF-3C53FDDD686B}"/>
    <hyperlink ref="D33" r:id="rId4" xr:uid="{AB0085CB-F5E8-4B40-995B-4E4EFCC9A3FD}"/>
    <hyperlink ref="D28" location="'7. History'!A1" display="4. Istorinis taisyklių laikymasis / Historical adherence to fiscal rules" xr:uid="{9826D7A9-E019-4F09-9AEE-8A29F23A65D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7"/>
  <sheetViews>
    <sheetView showGridLines="0" showRowColHeaders="0" zoomScaleNormal="100" workbookViewId="0"/>
  </sheetViews>
  <sheetFormatPr defaultColWidth="10" defaultRowHeight="13.8"/>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c r="B1" s="74" t="s">
        <v>19</v>
      </c>
      <c r="C1" s="3"/>
      <c r="D1" s="3"/>
    </row>
    <row r="2" spans="1:4" ht="14.4" thickBot="1">
      <c r="A2" s="4" t="s">
        <v>20</v>
      </c>
    </row>
    <row r="3" spans="1:4" ht="35.25" customHeight="1" thickTop="1" thickBot="1">
      <c r="B3" s="340" t="str">
        <f>_xlfn.CONCAT("1. Fiskalinės drausmės taisyklių laikymosi suvestinė ",metai," m.
Summary of the fulfilment of the fiscal discipline rules in year ",metai)</f>
        <v>1. Fiskalinės drausmės taisyklių laikymosi suvestinė 2023 m.
Summary of the fulfilment of the fiscal discipline rules in year 2023</v>
      </c>
      <c r="C3" s="341"/>
      <c r="D3" s="342"/>
    </row>
    <row r="4" spans="1:4" ht="17.25" customHeight="1" thickBot="1">
      <c r="B4" s="193" t="s">
        <v>21</v>
      </c>
      <c r="C4" s="346"/>
      <c r="D4" s="347"/>
    </row>
    <row r="5" spans="1:4" ht="33" customHeight="1" thickBot="1">
      <c r="B5" s="194" t="s">
        <v>22</v>
      </c>
      <c r="C5" s="109" t="s">
        <v>23</v>
      </c>
      <c r="D5" s="122" t="s">
        <v>24</v>
      </c>
    </row>
    <row r="6" spans="1:4" ht="17.25" customHeight="1">
      <c r="B6" s="195" t="s">
        <v>28</v>
      </c>
      <c r="C6" s="350" t="str">
        <f>'4. SurplusGG'!E6</f>
        <v>Taip</v>
      </c>
      <c r="D6" s="351"/>
    </row>
    <row r="7" spans="1:4" ht="17.25" customHeight="1" thickBot="1">
      <c r="B7" s="196" t="s">
        <v>29</v>
      </c>
      <c r="C7" s="352" t="str">
        <f>'4. SurplusGG'!E7</f>
        <v>Yes</v>
      </c>
      <c r="D7" s="353"/>
    </row>
    <row r="8" spans="1:4" ht="17.399999999999999" customHeight="1" thickBot="1">
      <c r="B8" s="343" t="s">
        <v>25</v>
      </c>
      <c r="C8" s="344"/>
      <c r="D8" s="345"/>
    </row>
    <row r="9" spans="1:4" ht="17.399999999999999" customHeight="1" thickBot="1">
      <c r="B9" s="338" t="s">
        <v>26</v>
      </c>
      <c r="C9" s="112" t="str">
        <f>'4. SurplusGG'!E20</f>
        <v>Netaikoma</v>
      </c>
      <c r="D9" s="120" t="str">
        <f>'4. SurplusGG'!F20</f>
        <v>Netaikoma</v>
      </c>
    </row>
    <row r="10" spans="1:4" ht="53.4" customHeight="1">
      <c r="B10" s="339"/>
      <c r="C10" s="114" t="str">
        <f>'4. SurplusGG'!E21</f>
        <v>Paskelbtos išskirtinės aplinkybės</v>
      </c>
      <c r="D10" s="116" t="str">
        <f>'4. SurplusGG'!F21</f>
        <v>Paskelbtos išskirtinės aplinkybės</v>
      </c>
    </row>
    <row r="11" spans="1:4" ht="15.75" customHeight="1" thickBot="1">
      <c r="B11" s="348" t="s">
        <v>27</v>
      </c>
      <c r="C11" s="164" t="str">
        <f>'4. SurplusGG'!E22</f>
        <v>Not applicable</v>
      </c>
      <c r="D11" s="192" t="str">
        <f>'4. SurplusGG'!F22</f>
        <v>Not applicable</v>
      </c>
    </row>
    <row r="12" spans="1:4" ht="33" customHeight="1" thickBot="1">
      <c r="B12" s="349"/>
      <c r="C12" s="113" t="str">
        <f>'4. SurplusGG'!E23</f>
        <v>Exceptional circumstances</v>
      </c>
      <c r="D12" s="121" t="str">
        <f>'4. SurplusGG'!F23</f>
        <v>Exceptional circumstances</v>
      </c>
    </row>
    <row r="13" spans="1:4" ht="21" customHeight="1" thickBot="1">
      <c r="B13" s="326" t="s">
        <v>30</v>
      </c>
      <c r="C13" s="327"/>
      <c r="D13" s="328"/>
    </row>
    <row r="14" spans="1:4" ht="18" customHeight="1" thickBot="1">
      <c r="B14" s="333" t="s">
        <v>31</v>
      </c>
      <c r="C14" s="112" t="str">
        <f>'5. GGexpenditure'!F23</f>
        <v>Taip</v>
      </c>
      <c r="D14" s="120" t="str">
        <f>'5. GGexpenditure'!G23</f>
        <v>Taip</v>
      </c>
    </row>
    <row r="15" spans="1:4" ht="48.75" customHeight="1">
      <c r="B15" s="334"/>
      <c r="C15" s="114" t="str">
        <f>'5. GGexpenditure'!F24</f>
        <v>Susidaro A5 aplinkybė</v>
      </c>
      <c r="D15" s="116" t="str">
        <f>'5. GGexpenditure'!G24</f>
        <v>Susidaro A5 aplinkybė</v>
      </c>
    </row>
    <row r="16" spans="1:4" ht="18" customHeight="1">
      <c r="B16" s="335" t="s">
        <v>32</v>
      </c>
      <c r="C16" s="164" t="str">
        <f>'5. GGexpenditure'!F25</f>
        <v>Yes</v>
      </c>
      <c r="D16" s="192" t="str">
        <f>'5. GGexpenditure'!G25</f>
        <v>Yes</v>
      </c>
    </row>
    <row r="17" spans="2:4" ht="52.5" customHeight="1" thickBot="1">
      <c r="B17" s="336"/>
      <c r="C17" s="113" t="str">
        <f>'5. GGexpenditure'!F26</f>
        <v>Escape clause A5 emerge</v>
      </c>
      <c r="D17" s="121" t="str">
        <f>'5. GGexpenditure'!G26</f>
        <v>Escape clause A5 emerge</v>
      </c>
    </row>
    <row r="18" spans="2:4" ht="22.5" customHeight="1">
      <c r="B18" s="334" t="s">
        <v>33</v>
      </c>
      <c r="C18" s="112" t="str">
        <f>'5. GGexpenditure'!F31</f>
        <v>Netaikoma</v>
      </c>
      <c r="D18" s="120" t="str">
        <f>'5. GGexpenditure'!G31</f>
        <v>Netaikoma</v>
      </c>
    </row>
    <row r="19" spans="2:4" ht="69" customHeight="1">
      <c r="B19" s="337"/>
      <c r="C19" s="114" t="str">
        <f>'5. GGexpenditure'!F32</f>
        <v>Paskelbtos išskirtinės aplinkybės</v>
      </c>
      <c r="D19" s="116" t="str">
        <f>'5. GGexpenditure'!G32</f>
        <v>Paskelbtos išskirtinės aplinkybės</v>
      </c>
    </row>
    <row r="20" spans="2:4" ht="14.4">
      <c r="B20" s="335" t="s">
        <v>34</v>
      </c>
      <c r="C20" s="164" t="str">
        <f>'5. GGexpenditure'!F33</f>
        <v>Not applied</v>
      </c>
      <c r="D20" s="192" t="str">
        <f>'5. GGexpenditure'!G33</f>
        <v>Not applied</v>
      </c>
    </row>
    <row r="21" spans="2:4" ht="64.5" customHeight="1" thickBot="1">
      <c r="B21" s="336"/>
      <c r="C21" s="113" t="str">
        <f>'5. GGexpenditure'!F34</f>
        <v>Exceptional Circumstances</v>
      </c>
      <c r="D21" s="121" t="str">
        <f>'5. GGexpenditure'!G34</f>
        <v>Exceptional Circumstances</v>
      </c>
    </row>
    <row r="22" spans="2:4" ht="19.5" customHeight="1">
      <c r="B22" s="197" t="s">
        <v>35</v>
      </c>
      <c r="C22" s="112" t="str">
        <f>'5. GGexpenditure'!F31</f>
        <v>Netaikoma</v>
      </c>
      <c r="D22" s="120" t="str">
        <f>'5. GGexpenditure'!G31</f>
        <v>Netaikoma</v>
      </c>
    </row>
    <row r="23" spans="2:4" ht="15" thickBot="1">
      <c r="B23" s="196" t="s">
        <v>36</v>
      </c>
      <c r="C23" s="113" t="str">
        <f>'5. GGexpenditure'!F33</f>
        <v>Not applied</v>
      </c>
      <c r="D23" s="121" t="str">
        <f>'5. GGexpenditure'!G33</f>
        <v>Not applied</v>
      </c>
    </row>
    <row r="24" spans="2:4" ht="15.75" customHeight="1" thickBot="1">
      <c r="B24" s="326" t="s">
        <v>37</v>
      </c>
      <c r="C24" s="327" t="s">
        <v>38</v>
      </c>
      <c r="D24" s="328"/>
    </row>
    <row r="25" spans="2:4" ht="82.8">
      <c r="B25" s="197" t="s">
        <v>39</v>
      </c>
      <c r="C25" s="110" t="str">
        <f>'6. GGbudgets'!E6:E6</f>
        <v>Savivaldybių biudžetų atitiktis fiskalinės drausmės taisyklėms bus vertinama 2024 m. birželio mėn.</v>
      </c>
      <c r="D25" s="118" t="str">
        <f>'6. GGbudgets'!F6:F6</f>
        <v>Savivaldybių biudžetų atitiktis fiskalinės drausmės taisyklėms bus vertinama 2024 m. birželio mėn.</v>
      </c>
    </row>
    <row r="26" spans="2:4" ht="29.4" thickBot="1">
      <c r="B26" s="196" t="s">
        <v>40</v>
      </c>
      <c r="C26" s="111" t="str">
        <f>'6. GGbudgets'!E7:E7</f>
        <v>Will be assessed in June 2024</v>
      </c>
      <c r="D26" s="119" t="str">
        <f>'6. GGbudgets'!F7:F7</f>
        <v>Will be assessed in June 2024</v>
      </c>
    </row>
    <row r="27" spans="2:4">
      <c r="B27" s="197" t="s">
        <v>41</v>
      </c>
      <c r="C27" s="112" t="str">
        <f>'6. GGbudgets'!E12</f>
        <v>Tenkinama</v>
      </c>
      <c r="D27" s="120" t="str">
        <f>'6. GGbudgets'!F12</f>
        <v>Tenkinama</v>
      </c>
    </row>
    <row r="28" spans="2:4" ht="15" thickBot="1">
      <c r="B28" s="196" t="s">
        <v>42</v>
      </c>
      <c r="C28" s="113" t="str">
        <f>'6. GGbudgets'!E13</f>
        <v>Valid</v>
      </c>
      <c r="D28" s="121" t="str">
        <f>'6. GGbudgets'!F13</f>
        <v>Valid</v>
      </c>
    </row>
    <row r="29" spans="2:4">
      <c r="B29" s="197" t="s">
        <v>43</v>
      </c>
      <c r="C29" s="112" t="str">
        <f>'6. GGbudgets'!E20</f>
        <v>Tenkinama</v>
      </c>
      <c r="D29" s="120" t="str">
        <f>'6. GGbudgets'!F20</f>
        <v>Tenkinama</v>
      </c>
    </row>
    <row r="30" spans="2:4" ht="15" thickBot="1">
      <c r="B30" s="198" t="s">
        <v>44</v>
      </c>
      <c r="C30" s="113" t="str">
        <f>'6. GGbudgets'!E21</f>
        <v>Valid</v>
      </c>
      <c r="D30" s="121" t="str">
        <f>'6. GGbudgets'!F21</f>
        <v>Valid</v>
      </c>
    </row>
    <row r="31" spans="2:4" ht="121.5" customHeight="1">
      <c r="B31" s="199" t="s">
        <v>45</v>
      </c>
      <c r="C31" s="114" t="str">
        <f>'6. GGbudgets'!E22</f>
        <v>Savivaldybių biudžetų atitiktis fiskalinės drausmės taisyklėms bus vertinama 2024 m. birželio mėn.</v>
      </c>
      <c r="D31" s="116" t="str">
        <f>'6. GGbudgets'!F22</f>
        <v>Savivaldybių biudžetų atitiktis fiskalinės drausmės taisyklėms bus vertinama 2024 m. birželio mėn.</v>
      </c>
    </row>
    <row r="32" spans="2:4" ht="48.75" customHeight="1" thickBot="1">
      <c r="B32" s="200" t="s">
        <v>46</v>
      </c>
      <c r="C32" s="115" t="str">
        <f>'6. GGbudgets'!E23</f>
        <v>Will be assessed in June 2024</v>
      </c>
      <c r="D32" s="117" t="str">
        <f>'6. GGbudgets'!F23</f>
        <v>Will be assessed in June 2024</v>
      </c>
    </row>
    <row r="33" spans="2:5" ht="14.4" thickTop="1">
      <c r="B33" s="34"/>
      <c r="C33" s="34"/>
      <c r="D33" s="34"/>
    </row>
    <row r="34" spans="2:5" ht="15" thickBot="1">
      <c r="B34" s="6" t="s">
        <v>47</v>
      </c>
      <c r="C34" s="6"/>
      <c r="D34" s="6"/>
      <c r="E34" s="38" t="s">
        <v>48</v>
      </c>
    </row>
    <row r="35" spans="2:5" ht="15.6" thickTop="1" thickBot="1">
      <c r="B35" s="7" t="s">
        <v>49</v>
      </c>
      <c r="C35" s="329" t="s">
        <v>23</v>
      </c>
      <c r="D35" s="330"/>
      <c r="E35" s="38" t="s">
        <v>50</v>
      </c>
    </row>
    <row r="36" spans="2:5" ht="15" thickBot="1">
      <c r="B36" s="7" t="s">
        <v>51</v>
      </c>
      <c r="C36" s="331" t="s">
        <v>24</v>
      </c>
      <c r="D36" s="332"/>
      <c r="E36" s="38" t="s">
        <v>52</v>
      </c>
    </row>
    <row r="37" spans="2:5" ht="14.4" thickTop="1"/>
  </sheetData>
  <mergeCells count="15">
    <mergeCell ref="B13:D13"/>
    <mergeCell ref="B9:B10"/>
    <mergeCell ref="B3:D3"/>
    <mergeCell ref="B8:D8"/>
    <mergeCell ref="C4:D4"/>
    <mergeCell ref="B11:B12"/>
    <mergeCell ref="C6:D6"/>
    <mergeCell ref="C7:D7"/>
    <mergeCell ref="B24:D24"/>
    <mergeCell ref="C35:D35"/>
    <mergeCell ref="C36:D36"/>
    <mergeCell ref="B14:B15"/>
    <mergeCell ref="B16:B17"/>
    <mergeCell ref="B20:B21"/>
    <mergeCell ref="B18:B19"/>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T61"/>
  <sheetViews>
    <sheetView showGridLines="0" showRowColHeaders="0" zoomScaleNormal="100" workbookViewId="0">
      <pane ySplit="5" topLeftCell="A6" activePane="bottomLeft" state="frozen"/>
      <selection pane="bottomLeft"/>
    </sheetView>
  </sheetViews>
  <sheetFormatPr defaultColWidth="10" defaultRowHeight="13.8"/>
  <cols>
    <col min="1" max="1" width="4.5546875" style="1" customWidth="1"/>
    <col min="2" max="2" width="51.33203125" style="1" customWidth="1"/>
    <col min="3" max="3" width="40.88671875" style="1" customWidth="1"/>
    <col min="4" max="4" width="21.109375" style="1" customWidth="1"/>
    <col min="5" max="7" width="11.44140625" style="1" customWidth="1"/>
    <col min="8" max="8" width="11.6640625" style="1" customWidth="1"/>
    <col min="9" max="13" width="11.44140625" style="1" customWidth="1"/>
    <col min="14" max="14" width="11.6640625" style="45" customWidth="1"/>
    <col min="15" max="17" width="11.44140625" style="45" customWidth="1"/>
    <col min="18" max="16384" width="10" style="1"/>
  </cols>
  <sheetData>
    <row r="1" spans="1:20">
      <c r="B1" s="74" t="s">
        <v>19</v>
      </c>
      <c r="C1" s="3"/>
      <c r="D1" s="3"/>
    </row>
    <row r="2" spans="1:20" ht="14.4" thickBot="1">
      <c r="A2" s="8" t="s">
        <v>20</v>
      </c>
      <c r="B2" s="9"/>
      <c r="C2" s="9"/>
    </row>
    <row r="3" spans="1:20" ht="40.200000000000003" customHeight="1" thickTop="1" thickBot="1">
      <c r="B3" s="356" t="s">
        <v>53</v>
      </c>
      <c r="C3" s="357"/>
      <c r="D3" s="357"/>
      <c r="E3" s="357"/>
      <c r="F3" s="357"/>
      <c r="G3" s="357"/>
      <c r="H3" s="357"/>
      <c r="I3" s="357"/>
      <c r="J3" s="357"/>
      <c r="K3" s="357"/>
      <c r="L3" s="357"/>
      <c r="M3" s="357"/>
      <c r="N3" s="357"/>
      <c r="O3" s="357"/>
      <c r="P3" s="357"/>
      <c r="Q3" s="358"/>
    </row>
    <row r="4" spans="1:20" ht="22.95" customHeight="1" thickBot="1">
      <c r="B4" s="364" t="s">
        <v>54</v>
      </c>
      <c r="C4" s="346" t="s">
        <v>55</v>
      </c>
      <c r="D4" s="365" t="s">
        <v>56</v>
      </c>
      <c r="E4" s="370"/>
      <c r="F4" s="371"/>
      <c r="G4" s="371"/>
      <c r="H4" s="371"/>
      <c r="I4" s="371"/>
      <c r="J4" s="371"/>
      <c r="K4" s="371"/>
      <c r="L4" s="371"/>
      <c r="M4" s="372"/>
      <c r="N4" s="368" t="s">
        <v>336</v>
      </c>
      <c r="O4" s="365"/>
      <c r="P4" s="365"/>
      <c r="Q4" s="369"/>
    </row>
    <row r="5" spans="1:20" ht="20.25" customHeight="1" thickBot="1">
      <c r="B5" s="364"/>
      <c r="C5" s="346"/>
      <c r="D5" s="365"/>
      <c r="E5" s="77">
        <f>2015</f>
        <v>2015</v>
      </c>
      <c r="F5" s="77">
        <f>E5+1</f>
        <v>2016</v>
      </c>
      <c r="G5" s="77">
        <f t="shared" ref="G5:K5" si="0">F5+1</f>
        <v>2017</v>
      </c>
      <c r="H5" s="77">
        <f t="shared" si="0"/>
        <v>2018</v>
      </c>
      <c r="I5" s="77">
        <f t="shared" si="0"/>
        <v>2019</v>
      </c>
      <c r="J5" s="77">
        <f t="shared" si="0"/>
        <v>2020</v>
      </c>
      <c r="K5" s="77">
        <f t="shared" si="0"/>
        <v>2021</v>
      </c>
      <c r="L5" s="77">
        <f t="shared" ref="L5" si="1">K5+1</f>
        <v>2022</v>
      </c>
      <c r="M5" s="77">
        <f t="shared" ref="M5" si="2">L5+1</f>
        <v>2023</v>
      </c>
      <c r="N5" s="77" t="str">
        <f>CONCATENATE(M5+1,"P")</f>
        <v>2024P</v>
      </c>
      <c r="O5" s="77" t="str">
        <f>CONCATENATE(M5+2,"P")</f>
        <v>2025P</v>
      </c>
      <c r="P5" s="77" t="str">
        <f>CONCATENATE(M5+3,"P")</f>
        <v>2026P</v>
      </c>
      <c r="Q5" s="97" t="str">
        <f>CONCATENATE(M5+4,"P")</f>
        <v>2027P</v>
      </c>
    </row>
    <row r="6" spans="1:20" ht="14.4" thickBot="1">
      <c r="B6" s="98" t="s">
        <v>57</v>
      </c>
      <c r="C6" s="78" t="s">
        <v>58</v>
      </c>
      <c r="D6" s="79"/>
      <c r="E6" s="80" t="s">
        <v>260</v>
      </c>
      <c r="F6" s="80" t="s">
        <v>261</v>
      </c>
      <c r="G6" s="80" t="s">
        <v>262</v>
      </c>
      <c r="H6" s="80" t="s">
        <v>263</v>
      </c>
      <c r="I6" s="80" t="s">
        <v>264</v>
      </c>
      <c r="J6" s="80" t="s">
        <v>265</v>
      </c>
      <c r="K6" s="80" t="s">
        <v>59</v>
      </c>
      <c r="L6" s="80" t="s">
        <v>60</v>
      </c>
      <c r="M6" s="80" t="s">
        <v>61</v>
      </c>
      <c r="N6" s="80" t="s">
        <v>62</v>
      </c>
      <c r="O6" s="99" t="s">
        <v>63</v>
      </c>
      <c r="P6" s="80" t="s">
        <v>301</v>
      </c>
      <c r="Q6" s="99" t="s">
        <v>302</v>
      </c>
    </row>
    <row r="7" spans="1:20" ht="14.4" thickBot="1">
      <c r="B7" s="359" t="s">
        <v>64</v>
      </c>
      <c r="C7" s="366" t="s">
        <v>65</v>
      </c>
      <c r="D7" s="81">
        <v>44997</v>
      </c>
      <c r="E7" s="201">
        <v>37345.698271975161</v>
      </c>
      <c r="F7" s="201">
        <v>38889.862365306471</v>
      </c>
      <c r="G7" s="201">
        <v>42276.297248535411</v>
      </c>
      <c r="H7" s="201">
        <v>45515.225949899301</v>
      </c>
      <c r="I7" s="201">
        <v>48959.160476961406</v>
      </c>
      <c r="J7" s="201">
        <v>49873.1724239986</v>
      </c>
      <c r="K7" s="201">
        <v>56478.107350888698</v>
      </c>
      <c r="L7" s="201">
        <v>67399.061871811005</v>
      </c>
      <c r="M7" s="201">
        <v>72047.815179478406</v>
      </c>
      <c r="N7" s="206">
        <v>75252.800000000003</v>
      </c>
      <c r="O7" s="206">
        <v>79293.8</v>
      </c>
      <c r="P7" s="206">
        <v>83772.7</v>
      </c>
      <c r="Q7" s="207">
        <v>88551.8</v>
      </c>
    </row>
    <row r="8" spans="1:20" ht="14.4" thickBot="1">
      <c r="B8" s="360"/>
      <c r="C8" s="366"/>
      <c r="D8" s="81">
        <v>44997</v>
      </c>
      <c r="E8" s="201">
        <f>E7</f>
        <v>37345.698271975161</v>
      </c>
      <c r="F8" s="201">
        <f>F7</f>
        <v>38889.862365306471</v>
      </c>
      <c r="G8" s="201">
        <f t="shared" ref="G8:M8" si="3">G7</f>
        <v>42276.297248535411</v>
      </c>
      <c r="H8" s="201">
        <f t="shared" si="3"/>
        <v>45515.225949899301</v>
      </c>
      <c r="I8" s="201">
        <f t="shared" si="3"/>
        <v>48959.160476961406</v>
      </c>
      <c r="J8" s="201">
        <f t="shared" si="3"/>
        <v>49873.1724239986</v>
      </c>
      <c r="K8" s="201">
        <f t="shared" si="3"/>
        <v>56478.107350888698</v>
      </c>
      <c r="L8" s="201">
        <f t="shared" si="3"/>
        <v>67399.061871811005</v>
      </c>
      <c r="M8" s="201">
        <f t="shared" si="3"/>
        <v>72047.815179478406</v>
      </c>
      <c r="N8" s="202">
        <v>75651</v>
      </c>
      <c r="O8" s="202">
        <v>79573.100000000006</v>
      </c>
      <c r="P8" s="202">
        <v>83701.8</v>
      </c>
      <c r="Q8" s="203">
        <v>88055.8</v>
      </c>
    </row>
    <row r="9" spans="1:20" ht="14.4" thickBot="1">
      <c r="B9" s="359" t="s">
        <v>66</v>
      </c>
      <c r="C9" s="361" t="s">
        <v>67</v>
      </c>
      <c r="D9" s="81">
        <f>$D$7</f>
        <v>44997</v>
      </c>
      <c r="E9" s="204"/>
      <c r="F9" s="204">
        <f t="shared" ref="F9:J9" si="4">(F7/E7-1)*100</f>
        <v>4.1347843654862881</v>
      </c>
      <c r="G9" s="204">
        <f t="shared" si="4"/>
        <v>8.707757439249697</v>
      </c>
      <c r="H9" s="204">
        <f t="shared" si="4"/>
        <v>7.6613348664921199</v>
      </c>
      <c r="I9" s="204">
        <f t="shared" si="4"/>
        <v>7.5665548290433593</v>
      </c>
      <c r="J9" s="204">
        <f t="shared" si="4"/>
        <v>1.8668864787158679</v>
      </c>
      <c r="K9" s="204">
        <f>(K7/J7-1)*100</f>
        <v>13.243462578915178</v>
      </c>
      <c r="L9" s="204">
        <f t="shared" ref="L9:M10" si="5">(L7/K7-1)*100</f>
        <v>19.336615607658935</v>
      </c>
      <c r="M9" s="204">
        <f t="shared" si="5"/>
        <v>6.8973561034262554</v>
      </c>
      <c r="N9" s="206">
        <f>(N7/M7-1)*100</f>
        <v>4.4484136160654719</v>
      </c>
      <c r="O9" s="206">
        <f t="shared" ref="O9:Q10" si="6">(O7/N7-1)*100</f>
        <v>5.3698998575468337</v>
      </c>
      <c r="P9" s="206">
        <f t="shared" si="6"/>
        <v>5.6484870191616521</v>
      </c>
      <c r="Q9" s="207">
        <f t="shared" si="6"/>
        <v>5.7048417921351513</v>
      </c>
    </row>
    <row r="10" spans="1:20" ht="14.4" thickBot="1">
      <c r="B10" s="360"/>
      <c r="C10" s="361"/>
      <c r="D10" s="81">
        <f>$D$8</f>
        <v>44997</v>
      </c>
      <c r="E10" s="204"/>
      <c r="F10" s="204">
        <f t="shared" ref="F10:K10" si="7">(F8/E8-1)*100</f>
        <v>4.1347843654862881</v>
      </c>
      <c r="G10" s="204">
        <f t="shared" si="7"/>
        <v>8.707757439249697</v>
      </c>
      <c r="H10" s="204">
        <f t="shared" si="7"/>
        <v>7.6613348664921199</v>
      </c>
      <c r="I10" s="204">
        <f t="shared" si="7"/>
        <v>7.5665548290433593</v>
      </c>
      <c r="J10" s="204">
        <f t="shared" si="7"/>
        <v>1.8668864787158679</v>
      </c>
      <c r="K10" s="204">
        <f t="shared" si="7"/>
        <v>13.243462578915178</v>
      </c>
      <c r="L10" s="204">
        <f t="shared" si="5"/>
        <v>19.336615607658935</v>
      </c>
      <c r="M10" s="204">
        <f t="shared" si="5"/>
        <v>6.8973561034262554</v>
      </c>
      <c r="N10" s="202">
        <f>(N8/M8-1)*100</f>
        <v>5.0011021313355553</v>
      </c>
      <c r="O10" s="202">
        <f>(O8/N8-1)*100</f>
        <v>5.1844655060739431</v>
      </c>
      <c r="P10" s="202">
        <f t="shared" si="6"/>
        <v>5.1885624664616437</v>
      </c>
      <c r="Q10" s="203">
        <f t="shared" si="6"/>
        <v>5.2017997223476664</v>
      </c>
    </row>
    <row r="11" spans="1:20" ht="14.4" thickBot="1">
      <c r="B11" s="359" t="s">
        <v>68</v>
      </c>
      <c r="C11" s="361" t="s">
        <v>69</v>
      </c>
      <c r="D11" s="81">
        <f>$D$7</f>
        <v>44997</v>
      </c>
      <c r="E11" s="201">
        <v>37345.698271975176</v>
      </c>
      <c r="F11" s="201">
        <v>38286.371614668038</v>
      </c>
      <c r="G11" s="201">
        <v>39926.023128275381</v>
      </c>
      <c r="H11" s="201">
        <v>41520.393112693382</v>
      </c>
      <c r="I11" s="201">
        <v>43457.601373179154</v>
      </c>
      <c r="J11" s="201">
        <v>43446.904940823399</v>
      </c>
      <c r="K11" s="201">
        <v>46177.417226915393</v>
      </c>
      <c r="L11" s="201">
        <v>47304.227108019499</v>
      </c>
      <c r="M11" s="201">
        <v>47141.963398367909</v>
      </c>
      <c r="N11" s="206">
        <v>47991.3</v>
      </c>
      <c r="O11" s="206">
        <v>49431.4</v>
      </c>
      <c r="P11" s="206">
        <v>50999.6</v>
      </c>
      <c r="Q11" s="207">
        <v>52645.5</v>
      </c>
    </row>
    <row r="12" spans="1:20" ht="14.4" thickBot="1">
      <c r="B12" s="360"/>
      <c r="C12" s="361"/>
      <c r="D12" s="81">
        <f>D10</f>
        <v>44997</v>
      </c>
      <c r="E12" s="201">
        <v>37345.698271975176</v>
      </c>
      <c r="F12" s="201">
        <v>38286.371614668038</v>
      </c>
      <c r="G12" s="201">
        <v>39926.023128275381</v>
      </c>
      <c r="H12" s="201">
        <v>41520.393112693382</v>
      </c>
      <c r="I12" s="201">
        <v>43457.601373179154</v>
      </c>
      <c r="J12" s="201">
        <v>43446.904940823399</v>
      </c>
      <c r="K12" s="201">
        <v>46177.417226915393</v>
      </c>
      <c r="L12" s="201">
        <v>47304.227108019499</v>
      </c>
      <c r="M12" s="201">
        <v>47141.963398367909</v>
      </c>
      <c r="N12" s="202">
        <v>47911.3</v>
      </c>
      <c r="O12" s="202">
        <v>49296.1</v>
      </c>
      <c r="P12" s="202">
        <v>50722.7</v>
      </c>
      <c r="Q12" s="203">
        <v>52194.9</v>
      </c>
    </row>
    <row r="13" spans="1:20" ht="14.4" thickBot="1">
      <c r="B13" s="359" t="s">
        <v>70</v>
      </c>
      <c r="C13" s="361" t="s">
        <v>71</v>
      </c>
      <c r="D13" s="81">
        <f>$D$7</f>
        <v>44997</v>
      </c>
      <c r="E13" s="204"/>
      <c r="F13" s="204">
        <f t="shared" ref="F13:J13" si="8">(F11/E11-1)*100</f>
        <v>2.5188264946668815</v>
      </c>
      <c r="G13" s="204">
        <f t="shared" si="8"/>
        <v>4.2825983357983377</v>
      </c>
      <c r="H13" s="204">
        <f t="shared" si="8"/>
        <v>3.9933102760962846</v>
      </c>
      <c r="I13" s="204">
        <f t="shared" si="8"/>
        <v>4.6656789959282463</v>
      </c>
      <c r="J13" s="204">
        <f t="shared" si="8"/>
        <v>-2.4613489971303526E-2</v>
      </c>
      <c r="K13" s="204">
        <f>(K11/J11-1)*100</f>
        <v>6.2847107056557272</v>
      </c>
      <c r="L13" s="204">
        <f t="shared" ref="L13:M13" si="9">(L11/K11-1)*100</f>
        <v>2.4401751955224649</v>
      </c>
      <c r="M13" s="204">
        <f t="shared" si="9"/>
        <v>-0.34302158511343439</v>
      </c>
      <c r="N13" s="206">
        <f>(N11/M11-1)*100</f>
        <v>1.8016572505792139</v>
      </c>
      <c r="O13" s="206">
        <f t="shared" ref="O13:Q13" si="10">(O11/N11-1)*100</f>
        <v>3.0007522196731529</v>
      </c>
      <c r="P13" s="206">
        <f t="shared" si="10"/>
        <v>3.1724774131422384</v>
      </c>
      <c r="Q13" s="207">
        <f t="shared" si="10"/>
        <v>3.2272802139624579</v>
      </c>
    </row>
    <row r="14" spans="1:20" ht="14.4" thickBot="1">
      <c r="B14" s="360"/>
      <c r="C14" s="361"/>
      <c r="D14" s="81">
        <f>$D$12</f>
        <v>44997</v>
      </c>
      <c r="E14" s="204"/>
      <c r="F14" s="204">
        <f t="shared" ref="F14:H14" si="11">(F12/E12-1)*100</f>
        <v>2.5188264946668815</v>
      </c>
      <c r="G14" s="204">
        <f t="shared" si="11"/>
        <v>4.2825983357983377</v>
      </c>
      <c r="H14" s="204">
        <f t="shared" si="11"/>
        <v>3.9933102760962846</v>
      </c>
      <c r="I14" s="205">
        <f>(I12/H12-1)*100</f>
        <v>4.6656789959282463</v>
      </c>
      <c r="J14" s="205">
        <f>(J12-I12)/I12*100</f>
        <v>-2.4613489971299925E-2</v>
      </c>
      <c r="K14" s="205">
        <f>(K12-J12)/J12*100</f>
        <v>6.2847107056557254</v>
      </c>
      <c r="L14" s="205">
        <f t="shared" ref="L14:M14" si="12">(L12-K12)/K12*100</f>
        <v>2.4401751955224613</v>
      </c>
      <c r="M14" s="205">
        <f t="shared" si="12"/>
        <v>-0.34302158511343994</v>
      </c>
      <c r="N14" s="202">
        <f>(N12-M12)/K12*100</f>
        <v>1.6660451099973421</v>
      </c>
      <c r="O14" s="202">
        <f t="shared" ref="O14:Q14" si="13">(O12-N12)/N12*100</f>
        <v>2.8903411095086038</v>
      </c>
      <c r="P14" s="202">
        <f t="shared" si="13"/>
        <v>2.8939408999900573</v>
      </c>
      <c r="Q14" s="203">
        <f t="shared" si="13"/>
        <v>2.9024480163713768</v>
      </c>
    </row>
    <row r="15" spans="1:20" ht="14.4" thickBot="1">
      <c r="B15" s="359" t="s">
        <v>72</v>
      </c>
      <c r="C15" s="361" t="s">
        <v>73</v>
      </c>
      <c r="D15" s="81">
        <v>45034</v>
      </c>
      <c r="E15" s="206">
        <v>37506.468458131538</v>
      </c>
      <c r="F15" s="206">
        <v>38433.93501113094</v>
      </c>
      <c r="G15" s="206">
        <v>39474.861668130688</v>
      </c>
      <c r="H15" s="206">
        <v>40689.827235427052</v>
      </c>
      <c r="I15" s="206">
        <v>42033.721541262799</v>
      </c>
      <c r="J15" s="206">
        <v>43362.924627860295</v>
      </c>
      <c r="K15" s="206">
        <v>44851.096265380547</v>
      </c>
      <c r="L15" s="206">
        <v>46392.993745287924</v>
      </c>
      <c r="M15" s="206">
        <v>47990.599101589374</v>
      </c>
      <c r="N15" s="206">
        <v>49588.573034598194</v>
      </c>
      <c r="O15" s="206">
        <v>51157.3288470353</v>
      </c>
      <c r="P15" s="206">
        <v>52672.716848279379</v>
      </c>
      <c r="Q15" s="207">
        <v>54119.363907719882</v>
      </c>
    </row>
    <row r="16" spans="1:20" ht="14.4" thickBot="1">
      <c r="B16" s="360"/>
      <c r="C16" s="361"/>
      <c r="D16" s="81">
        <v>45034</v>
      </c>
      <c r="E16" s="202">
        <v>37215.412842376623</v>
      </c>
      <c r="F16" s="202">
        <v>37931.208511426797</v>
      </c>
      <c r="G16" s="202">
        <v>38894.774059979442</v>
      </c>
      <c r="H16" s="202">
        <v>40170.464634957905</v>
      </c>
      <c r="I16" s="202">
        <v>41849.717027509476</v>
      </c>
      <c r="J16" s="202">
        <v>43398.631090337891</v>
      </c>
      <c r="K16" s="202">
        <v>44975.244374127418</v>
      </c>
      <c r="L16" s="202">
        <v>46565.898846310229</v>
      </c>
      <c r="M16" s="202">
        <v>48091.9086173916</v>
      </c>
      <c r="N16" s="202">
        <v>49364.410867147119</v>
      </c>
      <c r="O16" s="202">
        <v>50341.799985363024</v>
      </c>
      <c r="P16" s="202">
        <v>51306.230463744534</v>
      </c>
      <c r="Q16" s="203">
        <v>52260.533090829755</v>
      </c>
      <c r="R16" s="48"/>
      <c r="S16" s="48"/>
      <c r="T16" s="48"/>
    </row>
    <row r="17" spans="2:18" ht="14.4" thickBot="1">
      <c r="B17" s="359" t="s">
        <v>74</v>
      </c>
      <c r="C17" s="361" t="s">
        <v>75</v>
      </c>
      <c r="D17" s="81">
        <f>D15</f>
        <v>45034</v>
      </c>
      <c r="E17" s="206"/>
      <c r="F17" s="206">
        <f t="shared" ref="F17:I18" si="14">(F15/E15-1)*100</f>
        <v>2.4728175995421431</v>
      </c>
      <c r="G17" s="206">
        <f>(G15/F15-1)*100</f>
        <v>2.708353065326996</v>
      </c>
      <c r="H17" s="206">
        <f t="shared" si="14"/>
        <v>3.0778209623904651</v>
      </c>
      <c r="I17" s="206">
        <f t="shared" si="14"/>
        <v>3.3027771242677417</v>
      </c>
      <c r="J17" s="206">
        <f>(J15/I15-1)*100</f>
        <v>3.1622303185614209</v>
      </c>
      <c r="K17" s="206">
        <f>(K15/J15-1)*100</f>
        <v>3.4318986790944361</v>
      </c>
      <c r="L17" s="206">
        <f t="shared" ref="L17:M17" si="15">(L15/K15-1)*100</f>
        <v>3.4378144756687545</v>
      </c>
      <c r="M17" s="206">
        <f t="shared" si="15"/>
        <v>3.443634970126741</v>
      </c>
      <c r="N17" s="206">
        <f>(N15/M15-1)*100</f>
        <v>3.3297645016394428</v>
      </c>
      <c r="O17" s="206">
        <f>(O15/N15-1)*100</f>
        <v>3.1635429624937483</v>
      </c>
      <c r="P17" s="206">
        <f t="shared" ref="P17:Q17" si="16">(P15/O15-1)*100</f>
        <v>2.9622109586198597</v>
      </c>
      <c r="Q17" s="207">
        <f t="shared" si="16"/>
        <v>2.7464827068014896</v>
      </c>
    </row>
    <row r="18" spans="2:18" ht="14.4" thickBot="1">
      <c r="B18" s="360"/>
      <c r="C18" s="361"/>
      <c r="D18" s="81">
        <f>$D$16</f>
        <v>45034</v>
      </c>
      <c r="E18" s="202"/>
      <c r="F18" s="202">
        <f t="shared" si="14"/>
        <v>1.9233850020202059</v>
      </c>
      <c r="G18" s="202">
        <f>(G16/F16-1)*100</f>
        <v>2.5402975184994903</v>
      </c>
      <c r="H18" s="202">
        <f t="shared" si="14"/>
        <v>3.2798508432295481</v>
      </c>
      <c r="I18" s="202">
        <f t="shared" si="14"/>
        <v>4.1803160800142125</v>
      </c>
      <c r="J18" s="202">
        <f>(J16/I16-1)*100</f>
        <v>3.7011338972979146</v>
      </c>
      <c r="K18" s="202">
        <f>(K16/J16-1)*100</f>
        <v>3.6328640885185504</v>
      </c>
      <c r="L18" s="202">
        <f t="shared" ref="L18:M18" si="17">(L16/K16-1)*100</f>
        <v>3.5367333614708674</v>
      </c>
      <c r="M18" s="202">
        <f t="shared" si="17"/>
        <v>3.2770972082337257</v>
      </c>
      <c r="N18" s="202">
        <f>(N16/M16-1)*100</f>
        <v>2.6459799295537545</v>
      </c>
      <c r="O18" s="202">
        <f>(O16/N16-1)*100</f>
        <v>1.9799468909825091</v>
      </c>
      <c r="P18" s="202">
        <f t="shared" ref="P18:Q18" si="18">(P16/O16-1)*100</f>
        <v>1.9157647892247054</v>
      </c>
      <c r="Q18" s="203">
        <f t="shared" si="18"/>
        <v>1.8600131377018103</v>
      </c>
    </row>
    <row r="19" spans="2:18" ht="14.4" thickBot="1">
      <c r="B19" s="359" t="s">
        <v>76</v>
      </c>
      <c r="C19" s="361" t="s">
        <v>77</v>
      </c>
      <c r="D19" s="81">
        <f>D15</f>
        <v>45034</v>
      </c>
      <c r="E19" s="206">
        <f t="shared" ref="E19:M19" si="19">(E12/E15-1)*100</f>
        <v>-0.42864655822190123</v>
      </c>
      <c r="F19" s="206">
        <f t="shared" si="19"/>
        <v>-0.3839403808643671</v>
      </c>
      <c r="G19" s="206">
        <f t="shared" si="19"/>
        <v>1.1429082739735863</v>
      </c>
      <c r="H19" s="206">
        <f t="shared" si="19"/>
        <v>2.0412125921812407</v>
      </c>
      <c r="I19" s="206">
        <f t="shared" si="19"/>
        <v>3.387470296958095</v>
      </c>
      <c r="J19" s="206">
        <f t="shared" si="19"/>
        <v>0.19366847066664139</v>
      </c>
      <c r="K19" s="206">
        <f>(K12/K15-1)*100</f>
        <v>2.957165090652647</v>
      </c>
      <c r="L19" s="206">
        <f t="shared" si="19"/>
        <v>1.964161588136637</v>
      </c>
      <c r="M19" s="206">
        <f t="shared" si="19"/>
        <v>-1.768337380879581</v>
      </c>
      <c r="N19" s="206">
        <f>(N12/N15-1)*100</f>
        <v>-3.3823781003497477</v>
      </c>
      <c r="O19" s="206">
        <f>(O12/O15-1)*100</f>
        <v>-3.6382447813108731</v>
      </c>
      <c r="P19" s="206">
        <f t="shared" ref="P19:Q19" si="20">(P12/P15-1)*100</f>
        <v>-3.7021383459225898</v>
      </c>
      <c r="Q19" s="207">
        <f t="shared" si="20"/>
        <v>-3.5559618014012973</v>
      </c>
      <c r="R19" s="53"/>
    </row>
    <row r="20" spans="2:18" ht="14.4" thickBot="1">
      <c r="B20" s="360"/>
      <c r="C20" s="361"/>
      <c r="D20" s="81">
        <f>$D$16</f>
        <v>45034</v>
      </c>
      <c r="E20" s="202">
        <f t="shared" ref="E20:I20" si="21">(E$12/E16-1)*100</f>
        <v>0.35008460110430573</v>
      </c>
      <c r="F20" s="202">
        <f t="shared" si="21"/>
        <v>0.9363347944325362</v>
      </c>
      <c r="G20" s="202">
        <f t="shared" si="21"/>
        <v>2.6513820769485719</v>
      </c>
      <c r="H20" s="202">
        <f t="shared" si="21"/>
        <v>3.3605000340491964</v>
      </c>
      <c r="I20" s="202">
        <f t="shared" si="21"/>
        <v>3.8420435306952161</v>
      </c>
      <c r="J20" s="202">
        <f>(J$12/J16-1)*100</f>
        <v>0.11123357873896733</v>
      </c>
      <c r="K20" s="202">
        <f>(K$12/K16-1)*100</f>
        <v>2.6729656937218182</v>
      </c>
      <c r="L20" s="202">
        <f t="shared" ref="L20" si="22">(L$12/L16-1)*100</f>
        <v>1.5855556963393136</v>
      </c>
      <c r="M20" s="202">
        <f>(M$12/M16-1)*100</f>
        <v>-1.9752703652941794</v>
      </c>
      <c r="N20" s="202">
        <f>(N$12/N16-1)*100</f>
        <v>-2.9436406545149008</v>
      </c>
      <c r="O20" s="202">
        <f>(O$12/O16-1)*100</f>
        <v>-2.0772002305580406</v>
      </c>
      <c r="P20" s="202">
        <f t="shared" ref="P20" si="23">(P$12/P16-1)*100</f>
        <v>-1.1373481514236117</v>
      </c>
      <c r="Q20" s="203">
        <f>(Q$12/Q16-1)*100</f>
        <v>-0.12558825359795245</v>
      </c>
    </row>
    <row r="21" spans="2:18" ht="17.399999999999999" customHeight="1" thickBot="1">
      <c r="B21" s="362" t="s">
        <v>78</v>
      </c>
      <c r="C21" s="361" t="s">
        <v>79</v>
      </c>
      <c r="D21" s="81">
        <f>$D$15</f>
        <v>45034</v>
      </c>
      <c r="E21" s="208"/>
      <c r="F21" s="208"/>
      <c r="G21" s="208"/>
      <c r="H21" s="208"/>
      <c r="I21" s="206">
        <f>I19*I37</f>
        <v>1.3516006484862799</v>
      </c>
      <c r="J21" s="206">
        <f t="shared" ref="J21:Q21" si="24">J19*J37</f>
        <v>7.7273719795989917E-2</v>
      </c>
      <c r="K21" s="206">
        <f t="shared" si="24"/>
        <v>1.1799088711704062</v>
      </c>
      <c r="L21" s="206">
        <f t="shared" ref="L21:M21" si="25">L19*L37</f>
        <v>0.78370047366651818</v>
      </c>
      <c r="M21" s="206">
        <f t="shared" si="25"/>
        <v>-0.70556661497095285</v>
      </c>
      <c r="N21" s="206">
        <f>N19*N37</f>
        <v>-1.3495688620395494</v>
      </c>
      <c r="O21" s="206">
        <f t="shared" si="24"/>
        <v>-1.4516596677430385</v>
      </c>
      <c r="P21" s="206">
        <f t="shared" si="24"/>
        <v>-1.4771532000231133</v>
      </c>
      <c r="Q21" s="207">
        <f t="shared" si="24"/>
        <v>-1.4188287587591177</v>
      </c>
    </row>
    <row r="22" spans="2:18" ht="14.4" thickBot="1">
      <c r="B22" s="363"/>
      <c r="C22" s="361"/>
      <c r="D22" s="81">
        <f>$D$16</f>
        <v>45034</v>
      </c>
      <c r="E22" s="208"/>
      <c r="F22" s="208"/>
      <c r="G22" s="208"/>
      <c r="H22" s="208"/>
      <c r="I22" s="202">
        <f t="shared" ref="I22:Q22" si="26">I20*I37</f>
        <v>1.5329753687473913</v>
      </c>
      <c r="J22" s="202">
        <f t="shared" si="26"/>
        <v>4.4382197916847971E-2</v>
      </c>
      <c r="K22" s="202">
        <f t="shared" si="26"/>
        <v>1.0665133117950056</v>
      </c>
      <c r="L22" s="202">
        <f t="shared" ref="L22:M22" si="27">L20*L37</f>
        <v>0.63263672283938621</v>
      </c>
      <c r="M22" s="202">
        <f t="shared" si="27"/>
        <v>-0.78813287575237767</v>
      </c>
      <c r="N22" s="202">
        <f>N20*N37</f>
        <v>-1.1745126211514454</v>
      </c>
      <c r="O22" s="202">
        <f t="shared" si="26"/>
        <v>-0.82880289199265822</v>
      </c>
      <c r="P22" s="202">
        <f t="shared" si="26"/>
        <v>-0.45380191241802109</v>
      </c>
      <c r="Q22" s="203">
        <f t="shared" si="26"/>
        <v>-5.0109713185583028E-2</v>
      </c>
    </row>
    <row r="23" spans="2:18" ht="17.399999999999999" customHeight="1" thickBot="1">
      <c r="B23" s="362" t="s">
        <v>80</v>
      </c>
      <c r="C23" s="361" t="s">
        <v>81</v>
      </c>
      <c r="D23" s="81">
        <f>$D$15</f>
        <v>45034</v>
      </c>
      <c r="E23" s="208"/>
      <c r="F23" s="208"/>
      <c r="G23" s="208"/>
      <c r="H23" s="208"/>
      <c r="I23" s="206">
        <f t="shared" ref="I23:Q23" si="28">I19*I38</f>
        <v>0.35399064603212094</v>
      </c>
      <c r="J23" s="206">
        <f t="shared" si="28"/>
        <v>1.9560515537330781E-2</v>
      </c>
      <c r="K23" s="206">
        <f t="shared" si="28"/>
        <v>0.2602305279774329</v>
      </c>
      <c r="L23" s="206">
        <f t="shared" ref="L23" si="29">L19*L38</f>
        <v>0.17284621975602404</v>
      </c>
      <c r="M23" s="206">
        <f>M19*M38</f>
        <v>-0.16268703904092147</v>
      </c>
      <c r="N23" s="206">
        <f>N19*N38</f>
        <v>-0.31117878523217679</v>
      </c>
      <c r="O23" s="206">
        <f>O19*O38</f>
        <v>-0.33471851988060031</v>
      </c>
      <c r="P23" s="206">
        <f t="shared" si="28"/>
        <v>0</v>
      </c>
      <c r="Q23" s="207">
        <f t="shared" si="28"/>
        <v>0</v>
      </c>
    </row>
    <row r="24" spans="2:18" ht="14.4" thickBot="1">
      <c r="B24" s="362"/>
      <c r="C24" s="361"/>
      <c r="D24" s="81">
        <f>$D$16</f>
        <v>45034</v>
      </c>
      <c r="E24" s="208"/>
      <c r="F24" s="208"/>
      <c r="G24" s="208"/>
      <c r="H24" s="208"/>
      <c r="I24" s="202">
        <f t="shared" ref="I24:Q24" si="30">I20*I38</f>
        <v>0.40149354895765005</v>
      </c>
      <c r="J24" s="202">
        <f t="shared" si="30"/>
        <v>1.1234591452635702E-2</v>
      </c>
      <c r="K24" s="202">
        <f t="shared" si="30"/>
        <v>0.23522098104751998</v>
      </c>
      <c r="L24" s="202">
        <f t="shared" ref="L24:M24" si="31">L20*L38</f>
        <v>0.13952890127785958</v>
      </c>
      <c r="M24" s="202">
        <f t="shared" si="31"/>
        <v>-0.18172487360706449</v>
      </c>
      <c r="N24" s="202">
        <f t="shared" si="30"/>
        <v>-0.27081494021537089</v>
      </c>
      <c r="O24" s="202">
        <f t="shared" si="30"/>
        <v>-0.19110242121133972</v>
      </c>
      <c r="P24" s="202">
        <f t="shared" si="30"/>
        <v>0</v>
      </c>
      <c r="Q24" s="203">
        <f t="shared" si="30"/>
        <v>0</v>
      </c>
    </row>
    <row r="25" spans="2:18" s="10" customFormat="1" ht="15.75" customHeight="1" thickBot="1">
      <c r="B25" s="362" t="s">
        <v>82</v>
      </c>
      <c r="C25" s="361" t="s">
        <v>83</v>
      </c>
      <c r="D25" s="81">
        <f>$D$15</f>
        <v>45034</v>
      </c>
      <c r="E25" s="208"/>
      <c r="F25" s="208"/>
      <c r="G25" s="208"/>
      <c r="H25" s="208"/>
      <c r="I25" s="206">
        <f t="shared" ref="I25:Q25" si="32">I19*I39</f>
        <v>0.15243616336311427</v>
      </c>
      <c r="J25" s="206">
        <f t="shared" si="32"/>
        <v>8.7150811799988626E-3</v>
      </c>
      <c r="K25" s="206">
        <f t="shared" si="32"/>
        <v>0.12420093380741118</v>
      </c>
      <c r="L25" s="206">
        <f t="shared" ref="L25:M25" si="33">L19*L39</f>
        <v>8.2494786701738765E-2</v>
      </c>
      <c r="M25" s="206">
        <f t="shared" si="33"/>
        <v>-8.3111856901340306E-2</v>
      </c>
      <c r="N25" s="206">
        <f t="shared" si="32"/>
        <v>-0.15897177071643814</v>
      </c>
      <c r="O25" s="206">
        <f>O19*O39</f>
        <v>-0.17099750472161104</v>
      </c>
      <c r="P25" s="206">
        <f t="shared" si="32"/>
        <v>0</v>
      </c>
      <c r="Q25" s="207">
        <f t="shared" si="32"/>
        <v>0</v>
      </c>
      <c r="R25" s="1"/>
    </row>
    <row r="26" spans="2:18" s="10" customFormat="1" ht="14.4" thickBot="1">
      <c r="B26" s="362"/>
      <c r="C26" s="361"/>
      <c r="D26" s="81">
        <f>$D$16</f>
        <v>45034</v>
      </c>
      <c r="E26" s="208"/>
      <c r="F26" s="208"/>
      <c r="G26" s="208"/>
      <c r="H26" s="208"/>
      <c r="I26" s="202">
        <f>I20*I39</f>
        <v>0.17289195888128472</v>
      </c>
      <c r="J26" s="202">
        <f t="shared" ref="J26:Q26" si="34">J20*J39</f>
        <v>5.0055110432535299E-3</v>
      </c>
      <c r="K26" s="202">
        <f t="shared" si="34"/>
        <v>0.11226455913631637</v>
      </c>
      <c r="L26" s="202">
        <f t="shared" ref="L26:M26" si="35">L20*L39</f>
        <v>6.6593339246251174E-2</v>
      </c>
      <c r="M26" s="202">
        <f t="shared" si="35"/>
        <v>-9.283770716882643E-2</v>
      </c>
      <c r="N26" s="202">
        <f t="shared" si="34"/>
        <v>-0.13835111076220033</v>
      </c>
      <c r="O26" s="202">
        <f t="shared" si="34"/>
        <v>-9.7628410836227905E-2</v>
      </c>
      <c r="P26" s="202">
        <f t="shared" si="34"/>
        <v>0</v>
      </c>
      <c r="Q26" s="203">
        <f t="shared" si="34"/>
        <v>0</v>
      </c>
      <c r="R26" s="1"/>
    </row>
    <row r="27" spans="2:18" ht="14.4" thickBot="1">
      <c r="B27" s="359" t="s">
        <v>84</v>
      </c>
      <c r="C27" s="361" t="s">
        <v>85</v>
      </c>
      <c r="D27" s="81">
        <f>$D$7</f>
        <v>44997</v>
      </c>
      <c r="E27" s="208">
        <f t="shared" ref="E27:J28" si="36">E7/E11*100</f>
        <v>99.999999999999957</v>
      </c>
      <c r="F27" s="208">
        <f t="shared" si="36"/>
        <v>101.57625474858847</v>
      </c>
      <c r="G27" s="208">
        <f t="shared" si="36"/>
        <v>105.88657205529589</v>
      </c>
      <c r="H27" s="208">
        <f t="shared" si="36"/>
        <v>109.62137527542974</v>
      </c>
      <c r="I27" s="208">
        <f t="shared" si="36"/>
        <v>112.65960138144592</v>
      </c>
      <c r="J27" s="208">
        <f t="shared" si="36"/>
        <v>114.79108233815059</v>
      </c>
      <c r="K27" s="208">
        <f>K7/K11*100</f>
        <v>122.30676972112973</v>
      </c>
      <c r="L27" s="208">
        <f t="shared" ref="L27:M27" si="37">L7/L11*100</f>
        <v>142.47999807269829</v>
      </c>
      <c r="M27" s="208">
        <f t="shared" si="37"/>
        <v>152.83159628004114</v>
      </c>
      <c r="N27" s="208">
        <f t="shared" ref="N27:Q27" si="38">N7/N11*100</f>
        <v>156.80508758879213</v>
      </c>
      <c r="O27" s="208">
        <f t="shared" si="38"/>
        <v>160.4118030239888</v>
      </c>
      <c r="P27" s="208">
        <f t="shared" si="38"/>
        <v>164.26148440379924</v>
      </c>
      <c r="Q27" s="208">
        <f t="shared" si="38"/>
        <v>168.203930060499</v>
      </c>
    </row>
    <row r="28" spans="2:18" ht="14.4" thickBot="1">
      <c r="B28" s="360"/>
      <c r="C28" s="361"/>
      <c r="D28" s="81">
        <f>$D$8</f>
        <v>44997</v>
      </c>
      <c r="E28" s="208">
        <f>E8/E12*100</f>
        <v>99.999999999999957</v>
      </c>
      <c r="F28" s="208">
        <f t="shared" si="36"/>
        <v>101.57625474858847</v>
      </c>
      <c r="G28" s="208">
        <f t="shared" si="36"/>
        <v>105.88657205529589</v>
      </c>
      <c r="H28" s="208">
        <f t="shared" si="36"/>
        <v>109.62137527542974</v>
      </c>
      <c r="I28" s="208">
        <f t="shared" si="36"/>
        <v>112.65960138144592</v>
      </c>
      <c r="J28" s="208">
        <f t="shared" si="36"/>
        <v>114.79108233815059</v>
      </c>
      <c r="K28" s="208">
        <f>K8/K12*100</f>
        <v>122.30676972112973</v>
      </c>
      <c r="L28" s="208">
        <f t="shared" ref="L28:M28" si="39">L8/L12*100</f>
        <v>142.47999807269829</v>
      </c>
      <c r="M28" s="208">
        <f t="shared" si="39"/>
        <v>152.83159628004114</v>
      </c>
      <c r="N28" s="208">
        <f t="shared" ref="N28:Q28" si="40">N8/N12*100</f>
        <v>157.89803240571638</v>
      </c>
      <c r="O28" s="208">
        <f t="shared" si="40"/>
        <v>161.41865177975541</v>
      </c>
      <c r="P28" s="208">
        <f t="shared" si="40"/>
        <v>165.01842370378549</v>
      </c>
      <c r="Q28" s="208">
        <f t="shared" si="40"/>
        <v>168.70575477680768</v>
      </c>
    </row>
    <row r="29" spans="2:18" ht="14.4" thickBot="1">
      <c r="B29" s="359" t="s">
        <v>86</v>
      </c>
      <c r="C29" s="361" t="s">
        <v>87</v>
      </c>
      <c r="D29" s="81">
        <f>$D$7</f>
        <v>44997</v>
      </c>
      <c r="E29" s="208"/>
      <c r="F29" s="208">
        <f t="shared" ref="F29:J30" si="41">(F27/E27-1)*100</f>
        <v>1.5762547485885126</v>
      </c>
      <c r="G29" s="208">
        <f t="shared" si="41"/>
        <v>4.2434300392113267</v>
      </c>
      <c r="H29" s="208">
        <f t="shared" si="41"/>
        <v>3.5271736043957169</v>
      </c>
      <c r="I29" s="208">
        <f t="shared" si="41"/>
        <v>2.7715635736027533</v>
      </c>
      <c r="J29" s="208">
        <f t="shared" si="41"/>
        <v>1.8919656474620794</v>
      </c>
      <c r="K29" s="208">
        <f>(K27/J27-1)*100</f>
        <v>6.547274605216713</v>
      </c>
      <c r="L29" s="208">
        <f t="shared" ref="L29:Q29" si="42">(L27/K27-1)*100</f>
        <v>16.493958917863093</v>
      </c>
      <c r="M29" s="208">
        <f t="shared" si="42"/>
        <v>7.2652992331324162</v>
      </c>
      <c r="N29" s="208">
        <f t="shared" si="42"/>
        <v>2.5999148117710869</v>
      </c>
      <c r="O29" s="208">
        <f t="shared" si="42"/>
        <v>2.3001265396789705</v>
      </c>
      <c r="P29" s="208">
        <f t="shared" si="42"/>
        <v>2.3998741409537949</v>
      </c>
      <c r="Q29" s="208">
        <f t="shared" si="42"/>
        <v>2.4001035124023185</v>
      </c>
    </row>
    <row r="30" spans="2:18" ht="14.4" thickBot="1">
      <c r="B30" s="360"/>
      <c r="C30" s="361"/>
      <c r="D30" s="81">
        <f>$D$8</f>
        <v>44997</v>
      </c>
      <c r="E30" s="208"/>
      <c r="F30" s="208">
        <f t="shared" ref="F30:H30" si="43">(F28/E28-1)*100</f>
        <v>1.5762547485885126</v>
      </c>
      <c r="G30" s="208">
        <f t="shared" si="43"/>
        <v>4.2434300392113267</v>
      </c>
      <c r="H30" s="208">
        <f t="shared" si="43"/>
        <v>3.5271736043957169</v>
      </c>
      <c r="I30" s="208">
        <f t="shared" si="41"/>
        <v>2.7715635736027533</v>
      </c>
      <c r="J30" s="208">
        <f>(J28/I28-1)*100</f>
        <v>1.8919656474620794</v>
      </c>
      <c r="K30" s="208">
        <f>(K28/J28-1)*100</f>
        <v>6.547274605216713</v>
      </c>
      <c r="L30" s="208">
        <f t="shared" ref="L30:Q30" si="44">(L28/K28-1)*100</f>
        <v>16.493958917863093</v>
      </c>
      <c r="M30" s="208">
        <f t="shared" si="44"/>
        <v>7.2652992331324162</v>
      </c>
      <c r="N30" s="208">
        <f t="shared" si="44"/>
        <v>3.3150449573213558</v>
      </c>
      <c r="O30" s="208">
        <f>(O28/N28-1)*100</f>
        <v>2.2296790659131593</v>
      </c>
      <c r="P30" s="208">
        <f t="shared" si="44"/>
        <v>2.2300842463618853</v>
      </c>
      <c r="Q30" s="208">
        <f t="shared" si="44"/>
        <v>2.2344966036283997</v>
      </c>
    </row>
    <row r="31" spans="2:18" ht="28.8" thickBot="1">
      <c r="B31" s="90" t="s">
        <v>88</v>
      </c>
      <c r="C31" s="82" t="s">
        <v>89</v>
      </c>
      <c r="D31" s="81">
        <f>D21</f>
        <v>45034</v>
      </c>
      <c r="E31" s="201">
        <v>11782.563599999999</v>
      </c>
      <c r="F31" s="201">
        <v>12215.765100000001</v>
      </c>
      <c r="G31" s="201">
        <v>12548.314400000001</v>
      </c>
      <c r="H31" s="201">
        <v>13075.6795</v>
      </c>
      <c r="I31" s="201">
        <v>13534.335999999999</v>
      </c>
      <c r="J31" s="201">
        <v>14019.6736</v>
      </c>
      <c r="K31" s="201">
        <v>13470.8802</v>
      </c>
      <c r="L31" s="201">
        <v>14639.535400000001</v>
      </c>
      <c r="M31" s="201">
        <v>15920.742400000001</v>
      </c>
      <c r="N31" s="210">
        <v>16969.694500000001</v>
      </c>
      <c r="O31" s="210"/>
      <c r="P31" s="210"/>
      <c r="Q31" s="211"/>
    </row>
    <row r="32" spans="2:18" ht="29.25" customHeight="1" thickBot="1">
      <c r="B32" s="90" t="s">
        <v>90</v>
      </c>
      <c r="C32" s="82" t="s">
        <v>91</v>
      </c>
      <c r="D32" s="81">
        <f>$D$31</f>
        <v>45034</v>
      </c>
      <c r="E32" s="204"/>
      <c r="F32" s="204">
        <f t="shared" ref="F32:H32" si="45">(F31/E31-1)*100</f>
        <v>3.6766319682755677</v>
      </c>
      <c r="G32" s="204">
        <f t="shared" si="45"/>
        <v>2.7222961253569045</v>
      </c>
      <c r="H32" s="204">
        <f t="shared" si="45"/>
        <v>4.2026768153019756</v>
      </c>
      <c r="I32" s="204">
        <f>(I31/H31-1)*100</f>
        <v>3.5077068078947615</v>
      </c>
      <c r="J32" s="204">
        <f>(J31/I31-1)*100</f>
        <v>3.5859727436942768</v>
      </c>
      <c r="K32" s="204">
        <f>(K31/J31-1)*100</f>
        <v>-3.9144520454456266</v>
      </c>
      <c r="L32" s="204">
        <f t="shared" ref="L32:M32" si="46">(L31/K31-1)*100</f>
        <v>8.6754182551486139</v>
      </c>
      <c r="M32" s="204">
        <f t="shared" si="46"/>
        <v>8.7516916691222413</v>
      </c>
      <c r="N32" s="210"/>
      <c r="O32" s="210"/>
      <c r="P32" s="210"/>
      <c r="Q32" s="211"/>
    </row>
    <row r="33" spans="2:17" s="12" customFormat="1" ht="14.4" thickBot="1">
      <c r="B33" s="362" t="s">
        <v>92</v>
      </c>
      <c r="C33" s="361" t="s">
        <v>93</v>
      </c>
      <c r="D33" s="81">
        <f>D31</f>
        <v>45034</v>
      </c>
      <c r="E33" s="201">
        <v>-111.8</v>
      </c>
      <c r="F33" s="201">
        <v>97.8</v>
      </c>
      <c r="G33" s="201">
        <v>176.4</v>
      </c>
      <c r="H33" s="201">
        <v>244.6</v>
      </c>
      <c r="I33" s="201">
        <v>238.7</v>
      </c>
      <c r="J33" s="201">
        <v>-3236.6</v>
      </c>
      <c r="K33" s="201">
        <v>-648.20000000000005</v>
      </c>
      <c r="L33" s="201">
        <v>-397.5</v>
      </c>
      <c r="M33" s="201">
        <v>-572.70000000000005</v>
      </c>
      <c r="N33" s="210"/>
      <c r="O33" s="210"/>
      <c r="P33" s="210"/>
      <c r="Q33" s="211"/>
    </row>
    <row r="34" spans="2:17" s="12" customFormat="1" ht="14.4" thickBot="1">
      <c r="B34" s="363"/>
      <c r="C34" s="361"/>
      <c r="D34" s="81">
        <f>D33</f>
        <v>45034</v>
      </c>
      <c r="E34" s="201">
        <f>E33</f>
        <v>-111.8</v>
      </c>
      <c r="F34" s="201">
        <f t="shared" ref="F34:M34" si="47">F33</f>
        <v>97.8</v>
      </c>
      <c r="G34" s="201">
        <f t="shared" si="47"/>
        <v>176.4</v>
      </c>
      <c r="H34" s="201">
        <f t="shared" si="47"/>
        <v>244.6</v>
      </c>
      <c r="I34" s="201">
        <f t="shared" si="47"/>
        <v>238.7</v>
      </c>
      <c r="J34" s="201">
        <f t="shared" si="47"/>
        <v>-3236.6</v>
      </c>
      <c r="K34" s="201">
        <f t="shared" si="47"/>
        <v>-648.20000000000005</v>
      </c>
      <c r="L34" s="201">
        <f t="shared" si="47"/>
        <v>-397.5</v>
      </c>
      <c r="M34" s="201">
        <f t="shared" si="47"/>
        <v>-572.70000000000005</v>
      </c>
      <c r="N34" s="210"/>
      <c r="O34" s="210"/>
      <c r="P34" s="210"/>
      <c r="Q34" s="211"/>
    </row>
    <row r="35" spans="2:17" ht="14.4" thickBot="1">
      <c r="B35" s="359" t="s">
        <v>94</v>
      </c>
      <c r="C35" s="361" t="s">
        <v>95</v>
      </c>
      <c r="D35" s="81">
        <f>+D33</f>
        <v>45034</v>
      </c>
      <c r="E35" s="208">
        <f t="shared" ref="E35:J36" si="48">E33/E7*100</f>
        <v>-0.29936513486988831</v>
      </c>
      <c r="F35" s="208">
        <f t="shared" si="48"/>
        <v>0.25147941918983774</v>
      </c>
      <c r="G35" s="208">
        <f t="shared" si="48"/>
        <v>0.41725508495451569</v>
      </c>
      <c r="H35" s="208">
        <f t="shared" si="48"/>
        <v>0.53740258319104561</v>
      </c>
      <c r="I35" s="208">
        <f t="shared" si="48"/>
        <v>0.48754920973844001</v>
      </c>
      <c r="J35" s="208">
        <f t="shared" si="48"/>
        <v>-6.4896613603881592</v>
      </c>
      <c r="K35" s="208">
        <f>K33/K7*100</f>
        <v>-1.1477013490782291</v>
      </c>
      <c r="L35" s="208">
        <f t="shared" ref="L35:M35" si="49">L33/L7*100</f>
        <v>-0.58977082018741045</v>
      </c>
      <c r="M35" s="208">
        <f t="shared" si="49"/>
        <v>-0.79488878125359708</v>
      </c>
      <c r="N35" s="210"/>
      <c r="O35" s="210"/>
      <c r="P35" s="210"/>
      <c r="Q35" s="211"/>
    </row>
    <row r="36" spans="2:17" ht="14.4" thickBot="1">
      <c r="B36" s="360"/>
      <c r="C36" s="361"/>
      <c r="D36" s="81">
        <f>D10</f>
        <v>44997</v>
      </c>
      <c r="E36" s="208">
        <f t="shared" si="48"/>
        <v>-0.29936513486988831</v>
      </c>
      <c r="F36" s="208">
        <f t="shared" si="48"/>
        <v>0.25147941918983774</v>
      </c>
      <c r="G36" s="208">
        <f t="shared" si="48"/>
        <v>0.41725508495451569</v>
      </c>
      <c r="H36" s="208">
        <f t="shared" si="48"/>
        <v>0.53740258319104561</v>
      </c>
      <c r="I36" s="208">
        <f t="shared" si="48"/>
        <v>0.48754920973844001</v>
      </c>
      <c r="J36" s="208">
        <f t="shared" si="48"/>
        <v>-6.4896613603881592</v>
      </c>
      <c r="K36" s="208">
        <f>K34/K8*100</f>
        <v>-1.1477013490782291</v>
      </c>
      <c r="L36" s="208">
        <f t="shared" ref="L36:M36" si="50">L34/L8*100</f>
        <v>-0.58977082018741045</v>
      </c>
      <c r="M36" s="208">
        <f t="shared" si="50"/>
        <v>-0.79488878125359708</v>
      </c>
      <c r="N36" s="210"/>
      <c r="O36" s="210"/>
      <c r="P36" s="210"/>
      <c r="Q36" s="211"/>
    </row>
    <row r="37" spans="2:17" ht="36.75" customHeight="1" thickBot="1">
      <c r="B37" s="90" t="s">
        <v>96</v>
      </c>
      <c r="C37" s="83" t="s">
        <v>97</v>
      </c>
      <c r="D37" s="81">
        <v>44489</v>
      </c>
      <c r="E37" s="212"/>
      <c r="F37" s="212"/>
      <c r="G37" s="212"/>
      <c r="H37" s="212"/>
      <c r="I37" s="213">
        <v>0.39900000000000002</v>
      </c>
      <c r="J37" s="213">
        <v>0.39900000000000002</v>
      </c>
      <c r="K37" s="213">
        <v>0.39900000000000002</v>
      </c>
      <c r="L37" s="213">
        <v>0.39900000000000002</v>
      </c>
      <c r="M37" s="213">
        <v>0.39900000000000002</v>
      </c>
      <c r="N37" s="213">
        <v>0.39900000000000002</v>
      </c>
      <c r="O37" s="213">
        <v>0.39900000000000002</v>
      </c>
      <c r="P37" s="213">
        <v>0.39900000000000002</v>
      </c>
      <c r="Q37" s="214">
        <v>0.39900000000000002</v>
      </c>
    </row>
    <row r="38" spans="2:17" ht="36.75" customHeight="1" thickBot="1">
      <c r="B38" s="90" t="s">
        <v>98</v>
      </c>
      <c r="C38" s="83" t="s">
        <v>99</v>
      </c>
      <c r="D38" s="81">
        <f>D26</f>
        <v>45034</v>
      </c>
      <c r="E38" s="212"/>
      <c r="F38" s="212"/>
      <c r="G38" s="212"/>
      <c r="H38" s="212"/>
      <c r="I38" s="202">
        <v>0.1045</v>
      </c>
      <c r="J38" s="202">
        <v>0.10100000000000001</v>
      </c>
      <c r="K38" s="202">
        <v>8.7999999999999995E-2</v>
      </c>
      <c r="L38" s="202">
        <v>8.7999999999999995E-2</v>
      </c>
      <c r="M38" s="202">
        <v>9.1999999999999998E-2</v>
      </c>
      <c r="N38" s="202">
        <v>9.1999999999999998E-2</v>
      </c>
      <c r="O38" s="202">
        <v>9.1999999999999998E-2</v>
      </c>
      <c r="P38" s="210"/>
      <c r="Q38" s="211"/>
    </row>
    <row r="39" spans="2:17" ht="36.75" customHeight="1" thickBot="1">
      <c r="B39" s="93" t="s">
        <v>100</v>
      </c>
      <c r="C39" s="100" t="s">
        <v>101</v>
      </c>
      <c r="D39" s="275">
        <f>D26</f>
        <v>45034</v>
      </c>
      <c r="E39" s="215"/>
      <c r="F39" s="215"/>
      <c r="G39" s="215"/>
      <c r="H39" s="215"/>
      <c r="I39" s="216">
        <v>4.4999999999999998E-2</v>
      </c>
      <c r="J39" s="216">
        <v>4.4999999999999998E-2</v>
      </c>
      <c r="K39" s="216">
        <v>4.2000000000000003E-2</v>
      </c>
      <c r="L39" s="216">
        <v>4.2000000000000003E-2</v>
      </c>
      <c r="M39" s="216">
        <v>4.7E-2</v>
      </c>
      <c r="N39" s="216">
        <v>4.7E-2</v>
      </c>
      <c r="O39" s="216">
        <v>4.7E-2</v>
      </c>
      <c r="P39" s="217"/>
      <c r="Q39" s="218"/>
    </row>
    <row r="40" spans="2:17" ht="14.4" thickTop="1">
      <c r="B40" s="14"/>
      <c r="C40" s="14"/>
      <c r="D40" s="14"/>
    </row>
    <row r="41" spans="2:17" ht="15" thickBot="1">
      <c r="C41" s="6" t="s">
        <v>47</v>
      </c>
      <c r="E41" s="354"/>
      <c r="F41" s="354"/>
      <c r="G41" s="354"/>
      <c r="H41" s="354"/>
      <c r="I41" s="354"/>
      <c r="N41" s="49"/>
    </row>
    <row r="42" spans="2:17" ht="15.6" thickTop="1" thickBot="1">
      <c r="C42" s="6" t="s">
        <v>102</v>
      </c>
      <c r="D42" s="189"/>
      <c r="E42" s="354"/>
      <c r="F42" s="354"/>
      <c r="G42" s="354"/>
      <c r="H42" s="354"/>
      <c r="I42" s="354"/>
      <c r="J42" s="11"/>
      <c r="K42" s="11"/>
      <c r="L42" s="11"/>
      <c r="M42" s="11"/>
    </row>
    <row r="43" spans="2:17" ht="15" thickBot="1">
      <c r="B43" s="6" t="s">
        <v>337</v>
      </c>
      <c r="C43" s="6" t="s">
        <v>103</v>
      </c>
      <c r="D43" s="188"/>
      <c r="E43" s="354"/>
      <c r="F43" s="354"/>
      <c r="G43" s="354"/>
      <c r="H43" s="354"/>
      <c r="I43" s="354"/>
      <c r="J43" s="11"/>
      <c r="K43" s="11"/>
      <c r="L43" s="11"/>
      <c r="M43" s="11"/>
    </row>
    <row r="44" spans="2:17" ht="15" customHeight="1" thickBot="1">
      <c r="B44" s="6"/>
      <c r="C44" s="6" t="s">
        <v>104</v>
      </c>
      <c r="D44" s="123"/>
      <c r="E44" s="367"/>
      <c r="F44" s="367"/>
      <c r="G44" s="367"/>
      <c r="H44" s="367"/>
      <c r="I44" s="367"/>
      <c r="J44" s="367"/>
      <c r="K44" s="367"/>
      <c r="L44" s="55"/>
      <c r="M44" s="55"/>
    </row>
    <row r="45" spans="2:17" ht="15.6" thickTop="1" thickBot="1">
      <c r="E45" s="354"/>
      <c r="F45" s="354"/>
      <c r="G45" s="354"/>
      <c r="H45" s="354"/>
      <c r="I45" s="354"/>
    </row>
    <row r="46" spans="2:17" ht="15" thickTop="1" thickBot="1">
      <c r="C46" s="15" t="s">
        <v>107</v>
      </c>
      <c r="D46" s="106"/>
      <c r="E46" s="355"/>
      <c r="F46" s="355"/>
      <c r="G46" s="355"/>
      <c r="H46" s="355"/>
      <c r="I46" s="355"/>
    </row>
    <row r="47" spans="2:17" ht="14.4" thickTop="1">
      <c r="C47" s="16" t="s">
        <v>109</v>
      </c>
      <c r="D47" s="17">
        <v>4.9999999999999899E-2</v>
      </c>
    </row>
    <row r="48" spans="2:17">
      <c r="C48" s="6" t="s">
        <v>106</v>
      </c>
    </row>
    <row r="50" spans="9:17">
      <c r="I50" s="18"/>
      <c r="J50" s="18"/>
    </row>
    <row r="51" spans="9:17">
      <c r="I51" s="18"/>
      <c r="J51" s="18"/>
    </row>
    <row r="52" spans="9:17">
      <c r="I52" s="18"/>
      <c r="J52" s="18"/>
      <c r="Q52" s="50"/>
    </row>
    <row r="53" spans="9:17">
      <c r="I53" s="18"/>
      <c r="J53" s="18"/>
      <c r="Q53" s="50"/>
    </row>
    <row r="54" spans="9:17">
      <c r="I54" s="18"/>
      <c r="J54" s="18"/>
      <c r="Q54" s="50"/>
    </row>
    <row r="55" spans="9:17">
      <c r="I55" s="18"/>
      <c r="J55" s="18"/>
      <c r="Q55" s="50"/>
    </row>
    <row r="56" spans="9:17">
      <c r="I56" s="18"/>
      <c r="J56" s="18"/>
      <c r="Q56" s="50"/>
    </row>
    <row r="57" spans="9:17">
      <c r="I57" s="18"/>
      <c r="J57" s="18"/>
      <c r="Q57" s="50"/>
    </row>
    <row r="58" spans="9:17">
      <c r="I58" s="18"/>
      <c r="J58" s="18"/>
      <c r="Q58" s="50"/>
    </row>
    <row r="59" spans="9:17">
      <c r="I59" s="18"/>
      <c r="J59" s="18"/>
      <c r="Q59" s="50"/>
    </row>
    <row r="60" spans="9:17">
      <c r="I60" s="18"/>
      <c r="J60" s="18"/>
      <c r="Q60" s="50"/>
    </row>
    <row r="61" spans="9:17">
      <c r="I61" s="18"/>
      <c r="J61" s="18"/>
      <c r="N61" s="50"/>
    </row>
  </sheetData>
  <mergeCells count="40">
    <mergeCell ref="E42:I42"/>
    <mergeCell ref="E43:I43"/>
    <mergeCell ref="E44:K44"/>
    <mergeCell ref="N4:Q4"/>
    <mergeCell ref="C27:C28"/>
    <mergeCell ref="C4:C5"/>
    <mergeCell ref="E4:M4"/>
    <mergeCell ref="B35:B36"/>
    <mergeCell ref="C35:C36"/>
    <mergeCell ref="B29:B30"/>
    <mergeCell ref="C29:C30"/>
    <mergeCell ref="B33:B34"/>
    <mergeCell ref="C33:C34"/>
    <mergeCell ref="B15:B16"/>
    <mergeCell ref="C15:C16"/>
    <mergeCell ref="B17:B18"/>
    <mergeCell ref="C17:C18"/>
    <mergeCell ref="B11:B12"/>
    <mergeCell ref="C11:C12"/>
    <mergeCell ref="B9:B10"/>
    <mergeCell ref="C9:C10"/>
    <mergeCell ref="D4:D5"/>
    <mergeCell ref="B7:B8"/>
    <mergeCell ref="C7:C8"/>
    <mergeCell ref="E45:I45"/>
    <mergeCell ref="E46:I46"/>
    <mergeCell ref="B3:Q3"/>
    <mergeCell ref="B13:B14"/>
    <mergeCell ref="C13:C14"/>
    <mergeCell ref="B23:B24"/>
    <mergeCell ref="C23:C24"/>
    <mergeCell ref="B25:B26"/>
    <mergeCell ref="C25:C26"/>
    <mergeCell ref="B19:B20"/>
    <mergeCell ref="C19:C20"/>
    <mergeCell ref="B21:B22"/>
    <mergeCell ref="C21:C22"/>
    <mergeCell ref="B27:B28"/>
    <mergeCell ref="E41:I41"/>
    <mergeCell ref="B4:B5"/>
  </mergeCells>
  <phoneticPr fontId="50" type="noConversion"/>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zoomScaleNormal="100" workbookViewId="0"/>
  </sheetViews>
  <sheetFormatPr defaultColWidth="10" defaultRowHeight="13.8"/>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11">
      <c r="B1" s="74" t="s">
        <v>19</v>
      </c>
      <c r="C1" s="3"/>
      <c r="D1" s="3"/>
      <c r="E1" s="3"/>
      <c r="F1" s="3"/>
      <c r="G1" s="3"/>
      <c r="H1" s="3"/>
    </row>
    <row r="2" spans="1:11" ht="14.4" thickBot="1">
      <c r="A2" s="8"/>
    </row>
    <row r="3" spans="1:11" ht="34.200000000000003" customHeight="1" thickTop="1" thickBot="1">
      <c r="B3" s="356" t="s">
        <v>110</v>
      </c>
      <c r="C3" s="357"/>
      <c r="D3" s="186"/>
      <c r="E3" s="186"/>
      <c r="F3" s="186"/>
      <c r="G3" s="186"/>
      <c r="H3" s="187"/>
    </row>
    <row r="4" spans="1:11" ht="21.75" customHeight="1" thickBot="1">
      <c r="B4" s="364" t="s">
        <v>54</v>
      </c>
      <c r="C4" s="346" t="s">
        <v>111</v>
      </c>
      <c r="D4" s="346" t="s">
        <v>112</v>
      </c>
      <c r="E4" s="375" t="s">
        <v>23</v>
      </c>
      <c r="F4" s="375"/>
      <c r="G4" s="377" t="s">
        <v>24</v>
      </c>
      <c r="H4" s="378"/>
    </row>
    <row r="5" spans="1:11" ht="14.4" thickBot="1">
      <c r="B5" s="374"/>
      <c r="C5" s="346"/>
      <c r="D5" s="346"/>
      <c r="E5" s="88">
        <f>metai-1</f>
        <v>2022</v>
      </c>
      <c r="F5" s="88">
        <v>2023</v>
      </c>
      <c r="G5" s="124">
        <f>E5</f>
        <v>2022</v>
      </c>
      <c r="H5" s="125">
        <f>F5</f>
        <v>2023</v>
      </c>
    </row>
    <row r="6" spans="1:11" ht="28.8" thickBot="1">
      <c r="B6" s="90" t="s">
        <v>113</v>
      </c>
      <c r="C6" s="84"/>
      <c r="D6" s="78" t="s">
        <v>114</v>
      </c>
      <c r="E6" s="85">
        <f>'2. Macro'!L8</f>
        <v>67399.061871811005</v>
      </c>
      <c r="F6" s="85">
        <f>'2. Macro'!M8</f>
        <v>72047.815179478406</v>
      </c>
      <c r="G6" s="85">
        <f>'2. Macro'!L7</f>
        <v>67399.061871811005</v>
      </c>
      <c r="H6" s="85">
        <f>'2. Macro'!M7</f>
        <v>72047.815179478406</v>
      </c>
    </row>
    <row r="7" spans="1:11" s="10" customFormat="1" ht="14.4" thickBot="1">
      <c r="B7" s="362" t="s">
        <v>115</v>
      </c>
      <c r="C7" s="373" t="s">
        <v>116</v>
      </c>
      <c r="D7" s="79" t="s">
        <v>114</v>
      </c>
      <c r="E7" s="85">
        <f>E13-E15</f>
        <v>-397.52199999999721</v>
      </c>
      <c r="F7" s="85">
        <f>F13-F15</f>
        <v>-572.74599999999919</v>
      </c>
      <c r="G7" s="85">
        <f>G13-G15</f>
        <v>-397.52199999999721</v>
      </c>
      <c r="H7" s="91">
        <f>H13-H15</f>
        <v>-572.74599999999919</v>
      </c>
      <c r="J7" s="52"/>
      <c r="K7" s="52"/>
    </row>
    <row r="8" spans="1:11" s="10" customFormat="1" ht="14.4" thickBot="1">
      <c r="B8" s="362"/>
      <c r="C8" s="373"/>
      <c r="D8" s="79" t="s">
        <v>117</v>
      </c>
      <c r="E8" s="85">
        <f>E7/$E$6*100</f>
        <v>-0.58980346159129093</v>
      </c>
      <c r="F8" s="85">
        <f>F7/$F$6*100</f>
        <v>-0.79495262774205</v>
      </c>
      <c r="G8" s="85">
        <f>G7/G6*100</f>
        <v>-0.58980346159129093</v>
      </c>
      <c r="H8" s="91">
        <f>H7/$F$6*100</f>
        <v>-0.79495262774205</v>
      </c>
    </row>
    <row r="9" spans="1:11" s="10" customFormat="1" ht="14.4" thickBot="1">
      <c r="B9" s="379" t="s">
        <v>118</v>
      </c>
      <c r="C9" s="373" t="s">
        <v>119</v>
      </c>
      <c r="D9" s="79" t="s">
        <v>114</v>
      </c>
      <c r="E9" s="185">
        <v>718.56534499999998</v>
      </c>
      <c r="F9" s="185">
        <v>811.91664293000031</v>
      </c>
      <c r="G9" s="85">
        <f>E9</f>
        <v>718.56534499999998</v>
      </c>
      <c r="H9" s="85">
        <f>F9</f>
        <v>811.91664293000031</v>
      </c>
    </row>
    <row r="10" spans="1:11" s="10" customFormat="1" ht="14.4" thickBot="1">
      <c r="B10" s="379"/>
      <c r="C10" s="373"/>
      <c r="D10" s="79" t="s">
        <v>117</v>
      </c>
      <c r="E10" s="85">
        <f>E9/$E$6*100</f>
        <v>1.0661355292550931</v>
      </c>
      <c r="F10" s="85">
        <f>F9/$F$6*100</f>
        <v>1.1269136210548976</v>
      </c>
      <c r="G10" s="85">
        <f>G9/$G$6*100</f>
        <v>1.0661355292550931</v>
      </c>
      <c r="H10" s="91">
        <f>H9/$H$6*100</f>
        <v>1.1269136210548976</v>
      </c>
    </row>
    <row r="11" spans="1:11" s="10" customFormat="1" ht="14.4" thickBot="1">
      <c r="B11" s="379" t="s">
        <v>120</v>
      </c>
      <c r="C11" s="373" t="s">
        <v>121</v>
      </c>
      <c r="D11" s="79" t="s">
        <v>114</v>
      </c>
      <c r="E11" s="185">
        <v>218.29465500000197</v>
      </c>
      <c r="F11" s="185">
        <v>130.20335707000231</v>
      </c>
      <c r="G11" s="85">
        <f>E11</f>
        <v>218.29465500000197</v>
      </c>
      <c r="H11" s="85">
        <f>F11</f>
        <v>130.20335707000231</v>
      </c>
    </row>
    <row r="12" spans="1:11" s="10" customFormat="1" ht="14.4" thickBot="1">
      <c r="B12" s="379"/>
      <c r="C12" s="373"/>
      <c r="D12" s="79" t="s">
        <v>117</v>
      </c>
      <c r="E12" s="85">
        <f>E11/E6*100</f>
        <v>0.32388381816824896</v>
      </c>
      <c r="F12" s="85">
        <f>F11/F6*100</f>
        <v>0.18071798117077187</v>
      </c>
      <c r="G12" s="85">
        <f>G11/G6*100</f>
        <v>0.32388381816824896</v>
      </c>
      <c r="H12" s="91">
        <f>H11/H6*100</f>
        <v>0.18071798117077187</v>
      </c>
    </row>
    <row r="13" spans="1:11" s="10" customFormat="1" ht="14.4" thickBot="1">
      <c r="B13" s="362" t="s">
        <v>122</v>
      </c>
      <c r="C13" s="361" t="s">
        <v>123</v>
      </c>
      <c r="D13" s="79" t="s">
        <v>114</v>
      </c>
      <c r="E13" s="185">
        <v>24070.401000000002</v>
      </c>
      <c r="F13" s="185">
        <v>26925.727999999999</v>
      </c>
      <c r="G13" s="85">
        <f>E13</f>
        <v>24070.401000000002</v>
      </c>
      <c r="H13" s="85">
        <f>F13</f>
        <v>26925.727999999999</v>
      </c>
    </row>
    <row r="14" spans="1:11" s="10" customFormat="1" ht="14.4" thickBot="1">
      <c r="B14" s="363"/>
      <c r="C14" s="361"/>
      <c r="D14" s="79" t="s">
        <v>117</v>
      </c>
      <c r="E14" s="85">
        <f>E13/E6*100</f>
        <v>35.713258213861302</v>
      </c>
      <c r="F14" s="85">
        <f>F13/F6*100</f>
        <v>37.372025692833688</v>
      </c>
      <c r="G14" s="85">
        <f t="shared" ref="G14:H14" si="0">G13/G6*100</f>
        <v>35.713258213861302</v>
      </c>
      <c r="H14" s="85">
        <f t="shared" si="0"/>
        <v>37.372025692833688</v>
      </c>
    </row>
    <row r="15" spans="1:11" s="10" customFormat="1" ht="14.4" thickBot="1">
      <c r="B15" s="362" t="s">
        <v>124</v>
      </c>
      <c r="C15" s="361" t="s">
        <v>125</v>
      </c>
      <c r="D15" s="79" t="s">
        <v>114</v>
      </c>
      <c r="E15" s="185">
        <v>24467.922999999999</v>
      </c>
      <c r="F15" s="185">
        <v>27498.473999999998</v>
      </c>
      <c r="G15" s="85">
        <f>E15</f>
        <v>24467.922999999999</v>
      </c>
      <c r="H15" s="85">
        <f>F15</f>
        <v>27498.473999999998</v>
      </c>
      <c r="I15" s="52"/>
    </row>
    <row r="16" spans="1:11" s="10" customFormat="1" ht="14.4" thickBot="1">
      <c r="B16" s="363"/>
      <c r="C16" s="361"/>
      <c r="D16" s="79" t="s">
        <v>117</v>
      </c>
      <c r="E16" s="85">
        <f>E15/E6*100</f>
        <v>36.303061675452582</v>
      </c>
      <c r="F16" s="85">
        <f t="shared" ref="F16" si="1">F15/F6*100</f>
        <v>38.166978320575737</v>
      </c>
      <c r="G16" s="85">
        <f>G15/G6*100</f>
        <v>36.303061675452582</v>
      </c>
      <c r="H16" s="85">
        <f>H15/H6*100</f>
        <v>38.166978320575737</v>
      </c>
    </row>
    <row r="17" spans="2:11" s="10" customFormat="1" ht="14.4" thickBot="1">
      <c r="B17" s="379" t="s">
        <v>126</v>
      </c>
      <c r="C17" s="361" t="s">
        <v>127</v>
      </c>
      <c r="D17" s="79" t="s">
        <v>114</v>
      </c>
      <c r="E17" s="85">
        <v>13763.078783300001</v>
      </c>
      <c r="F17" s="86">
        <v>14270.48582016</v>
      </c>
      <c r="G17" s="85">
        <f>E17</f>
        <v>13763.078783300001</v>
      </c>
      <c r="H17" s="91">
        <f>F17</f>
        <v>14270.48582016</v>
      </c>
    </row>
    <row r="18" spans="2:11" s="10" customFormat="1" ht="14.4" thickBot="1">
      <c r="B18" s="379"/>
      <c r="C18" s="361"/>
      <c r="D18" s="79" t="s">
        <v>117</v>
      </c>
      <c r="E18" s="85">
        <f>E17/$E$6*100</f>
        <v>20.420282420957957</v>
      </c>
      <c r="F18" s="85">
        <f>F17/F6*100</f>
        <v>19.80696539459354</v>
      </c>
      <c r="G18" s="85">
        <f>G17/G6*100</f>
        <v>20.420282420957957</v>
      </c>
      <c r="H18" s="91">
        <f>H17/H6*100</f>
        <v>19.80696539459354</v>
      </c>
    </row>
    <row r="19" spans="2:11" s="10" customFormat="1" ht="14.4" thickBot="1">
      <c r="B19" s="379" t="s">
        <v>128</v>
      </c>
      <c r="C19" s="361" t="s">
        <v>129</v>
      </c>
      <c r="D19" s="79" t="s">
        <v>114</v>
      </c>
      <c r="E19" s="85">
        <v>8387.7156010100007</v>
      </c>
      <c r="F19" s="86">
        <v>9566.2908911726336</v>
      </c>
      <c r="G19" s="85">
        <f>E19</f>
        <v>8387.7156010100007</v>
      </c>
      <c r="H19" s="91">
        <f>F19</f>
        <v>9566.2908911726336</v>
      </c>
    </row>
    <row r="20" spans="2:11" s="10" customFormat="1" ht="14.4" thickBot="1">
      <c r="B20" s="380"/>
      <c r="C20" s="361"/>
      <c r="D20" s="79" t="s">
        <v>117</v>
      </c>
      <c r="E20" s="85">
        <f t="shared" ref="E20" si="2">E19/E6*100</f>
        <v>12.444855118255111</v>
      </c>
      <c r="F20" s="85">
        <f>F19/F6*100</f>
        <v>13.277697411562078</v>
      </c>
      <c r="G20" s="85">
        <f>G19/G6*100</f>
        <v>12.444855118255111</v>
      </c>
      <c r="H20" s="91">
        <f>H19/H6*100</f>
        <v>13.277697411562078</v>
      </c>
      <c r="J20" s="1"/>
      <c r="K20" s="1"/>
    </row>
    <row r="21" spans="2:11" s="10" customFormat="1" ht="14.4" thickBot="1">
      <c r="B21" s="362" t="s">
        <v>130</v>
      </c>
      <c r="C21" s="373" t="s">
        <v>131</v>
      </c>
      <c r="D21" s="79" t="s">
        <v>114</v>
      </c>
      <c r="E21" s="85">
        <f>E19+E17</f>
        <v>22150.79438431</v>
      </c>
      <c r="F21" s="85">
        <f>F19+F17</f>
        <v>23836.776711332634</v>
      </c>
      <c r="G21" s="85">
        <f>G19+G17</f>
        <v>22150.79438431</v>
      </c>
      <c r="H21" s="91">
        <f>H17+H19</f>
        <v>23836.776711332634</v>
      </c>
      <c r="J21" s="1"/>
      <c r="K21" s="1"/>
    </row>
    <row r="22" spans="2:11" s="10" customFormat="1" ht="16.5" customHeight="1" thickBot="1">
      <c r="B22" s="362"/>
      <c r="C22" s="373"/>
      <c r="D22" s="79" t="s">
        <v>117</v>
      </c>
      <c r="E22" s="85">
        <f>E21/E6*100</f>
        <v>32.865137539213066</v>
      </c>
      <c r="F22" s="85">
        <f>F21/F6*100</f>
        <v>33.08466280615562</v>
      </c>
      <c r="G22" s="85">
        <f>G21/$G$6*100</f>
        <v>32.865137539213066</v>
      </c>
      <c r="H22" s="91">
        <f>H21/$H$6*100</f>
        <v>33.08466280615562</v>
      </c>
      <c r="J22" s="1"/>
      <c r="K22" s="1"/>
    </row>
    <row r="23" spans="2:11" s="10" customFormat="1" ht="14.4" thickBot="1">
      <c r="B23" s="362" t="s">
        <v>132</v>
      </c>
      <c r="C23" s="361" t="s">
        <v>133</v>
      </c>
      <c r="D23" s="79" t="s">
        <v>114</v>
      </c>
      <c r="E23" s="183">
        <v>114.1</v>
      </c>
      <c r="F23" s="183">
        <v>-104.6</v>
      </c>
      <c r="G23" s="85">
        <f>E23</f>
        <v>114.1</v>
      </c>
      <c r="H23" s="85">
        <f>F23</f>
        <v>-104.6</v>
      </c>
      <c r="J23" s="1"/>
      <c r="K23" s="1"/>
    </row>
    <row r="24" spans="2:11" ht="14.4" thickBot="1">
      <c r="B24" s="363"/>
      <c r="C24" s="361"/>
      <c r="D24" s="79" t="s">
        <v>117</v>
      </c>
      <c r="E24" s="85">
        <f>E23/E6*100</f>
        <v>0.1692901901468768</v>
      </c>
      <c r="F24" s="85">
        <f>F23/F6*100</f>
        <v>-0.1451813628760717</v>
      </c>
      <c r="G24" s="85">
        <f>G23/G6*100</f>
        <v>0.1692901901468768</v>
      </c>
      <c r="H24" s="91">
        <f>H23/H6*100</f>
        <v>-0.1451813628760717</v>
      </c>
    </row>
    <row r="25" spans="2:11" ht="14.4" thickBot="1">
      <c r="B25" s="362" t="s">
        <v>134</v>
      </c>
      <c r="C25" s="361" t="s">
        <v>135</v>
      </c>
      <c r="D25" s="79" t="s">
        <v>114</v>
      </c>
      <c r="E25" s="183">
        <v>0</v>
      </c>
      <c r="F25" s="183">
        <v>0</v>
      </c>
      <c r="G25" s="183">
        <v>0</v>
      </c>
      <c r="H25" s="184">
        <v>0</v>
      </c>
    </row>
    <row r="26" spans="2:11" ht="14.4" thickBot="1">
      <c r="B26" s="363"/>
      <c r="C26" s="361"/>
      <c r="D26" s="79" t="s">
        <v>117</v>
      </c>
      <c r="E26" s="85">
        <f>E25/$E$6*100</f>
        <v>0</v>
      </c>
      <c r="F26" s="85">
        <f>F25/$F$6*100</f>
        <v>0</v>
      </c>
      <c r="G26" s="85">
        <f>G25/$G$6*100</f>
        <v>0</v>
      </c>
      <c r="H26" s="91">
        <f>H25/$H$6*100</f>
        <v>0</v>
      </c>
    </row>
    <row r="27" spans="2:11" ht="14.4" thickBot="1">
      <c r="B27" s="362" t="s">
        <v>136</v>
      </c>
      <c r="C27" s="361" t="s">
        <v>137</v>
      </c>
      <c r="D27" s="79" t="s">
        <v>114</v>
      </c>
      <c r="E27" s="183">
        <v>0</v>
      </c>
      <c r="F27" s="183">
        <v>0</v>
      </c>
      <c r="G27" s="183">
        <v>0</v>
      </c>
      <c r="H27" s="184">
        <v>0</v>
      </c>
    </row>
    <row r="28" spans="2:11" ht="14.4" thickBot="1">
      <c r="B28" s="363"/>
      <c r="C28" s="361"/>
      <c r="D28" s="79" t="s">
        <v>117</v>
      </c>
      <c r="E28" s="85">
        <f>E27/$E$6*100</f>
        <v>0</v>
      </c>
      <c r="F28" s="85">
        <f>F27/$F$6*100</f>
        <v>0</v>
      </c>
      <c r="G28" s="85">
        <f>G27/$G$6*100</f>
        <v>0</v>
      </c>
      <c r="H28" s="91">
        <f>H27/$H$6*100</f>
        <v>0</v>
      </c>
    </row>
    <row r="29" spans="2:11" ht="28.8" thickBot="1">
      <c r="B29" s="92" t="s">
        <v>138</v>
      </c>
      <c r="C29" s="79" t="s">
        <v>139</v>
      </c>
      <c r="D29" s="79" t="s">
        <v>117</v>
      </c>
      <c r="E29" s="219">
        <v>0</v>
      </c>
      <c r="F29" s="219">
        <v>0</v>
      </c>
      <c r="G29" s="219">
        <f>E29</f>
        <v>0</v>
      </c>
      <c r="H29" s="220">
        <f>F29</f>
        <v>0</v>
      </c>
    </row>
    <row r="30" spans="2:11" ht="33" customHeight="1" thickBot="1">
      <c r="B30" s="92" t="s">
        <v>140</v>
      </c>
      <c r="C30" s="79" t="s">
        <v>141</v>
      </c>
      <c r="D30" s="79" t="s">
        <v>117</v>
      </c>
      <c r="E30" s="183">
        <f>E8-'2. Macro'!L22-E24+E29</f>
        <v>-1.391730374577554</v>
      </c>
      <c r="F30" s="183">
        <f>F8-'2. Macro'!M22-F24+F29</f>
        <v>0.13836161088639937</v>
      </c>
      <c r="G30" s="126">
        <f>G8-'2. Macro'!L21-G24+G29</f>
        <v>-1.542794125404686</v>
      </c>
      <c r="H30" s="127">
        <f>H8-'2. Macro'!M21-H24+H29</f>
        <v>5.579535010497455E-2</v>
      </c>
    </row>
    <row r="31" spans="2:11" ht="28.8" thickBot="1">
      <c r="B31" s="92" t="s">
        <v>142</v>
      </c>
      <c r="C31" s="79" t="s">
        <v>143</v>
      </c>
      <c r="D31" s="79" t="s">
        <v>117</v>
      </c>
      <c r="E31" s="208">
        <f>E10-'2. Macro'!L24-E26</f>
        <v>0.92660662797723359</v>
      </c>
      <c r="F31" s="208">
        <f>F10-'2. Macro'!M24-F26</f>
        <v>1.308638494661962</v>
      </c>
      <c r="G31" s="208">
        <f>G10-'2. Macro'!L23-G26</f>
        <v>0.89328930949906904</v>
      </c>
      <c r="H31" s="209">
        <f>H10-'2. Macro'!M23-H26</f>
        <v>1.289600660095819</v>
      </c>
    </row>
    <row r="32" spans="2:11" ht="28.8" thickBot="1">
      <c r="B32" s="92" t="s">
        <v>144</v>
      </c>
      <c r="C32" s="79" t="s">
        <v>145</v>
      </c>
      <c r="D32" s="79" t="s">
        <v>117</v>
      </c>
      <c r="E32" s="208">
        <f>E12-'2. Macro'!L26-E28</f>
        <v>0.2572904789219978</v>
      </c>
      <c r="F32" s="208">
        <f>F12-'2. Macro'!M26-F28</f>
        <v>0.27355568833959831</v>
      </c>
      <c r="G32" s="219">
        <f>G12-'2. Macro'!L25-G28</f>
        <v>0.2413890314665102</v>
      </c>
      <c r="H32" s="220">
        <f>H12-'2. Macro'!M25-H28</f>
        <v>0.26382983807211219</v>
      </c>
    </row>
    <row r="33" spans="2:13" ht="28.8" thickBot="1">
      <c r="B33" s="92" t="s">
        <v>146</v>
      </c>
      <c r="C33" s="87" t="s">
        <v>147</v>
      </c>
      <c r="D33" s="79" t="s">
        <v>117</v>
      </c>
      <c r="E33" s="86">
        <v>-1</v>
      </c>
      <c r="F33" s="86">
        <v>-1</v>
      </c>
      <c r="G33" s="86">
        <v>-1</v>
      </c>
      <c r="H33" s="314">
        <v>-1</v>
      </c>
    </row>
    <row r="34" spans="2:13" ht="28.8" thickBot="1">
      <c r="B34" s="93" t="s">
        <v>148</v>
      </c>
      <c r="C34" s="94" t="s">
        <v>149</v>
      </c>
      <c r="D34" s="95" t="s">
        <v>117</v>
      </c>
      <c r="E34" s="94">
        <v>0</v>
      </c>
      <c r="F34" s="94">
        <v>0</v>
      </c>
      <c r="G34" s="94">
        <v>0</v>
      </c>
      <c r="H34" s="96">
        <v>0</v>
      </c>
      <c r="J34" s="55"/>
      <c r="K34" s="55"/>
    </row>
    <row r="35" spans="2:13" ht="14.4" thickTop="1">
      <c r="C35" s="19"/>
      <c r="D35" s="19"/>
      <c r="E35" s="19"/>
      <c r="F35" s="19"/>
      <c r="G35" s="19"/>
      <c r="H35" s="19"/>
    </row>
    <row r="36" spans="2:13" ht="15" thickBot="1">
      <c r="C36" s="6" t="s">
        <v>47</v>
      </c>
      <c r="D36" s="6"/>
      <c r="E36" s="43" t="s">
        <v>48</v>
      </c>
    </row>
    <row r="37" spans="2:13" ht="15.6" thickTop="1" thickBot="1">
      <c r="B37" s="20"/>
      <c r="C37" s="21" t="s">
        <v>150</v>
      </c>
      <c r="D37" s="107"/>
      <c r="E37" s="75" t="s">
        <v>151</v>
      </c>
      <c r="F37" s="11"/>
      <c r="G37" s="11"/>
    </row>
    <row r="38" spans="2:13" ht="15" customHeight="1" thickBot="1">
      <c r="B38" s="22"/>
      <c r="C38" s="6" t="s">
        <v>104</v>
      </c>
      <c r="D38" s="123"/>
      <c r="E38" s="44" t="s">
        <v>105</v>
      </c>
      <c r="F38" s="55"/>
      <c r="G38" s="55"/>
      <c r="H38" s="55"/>
      <c r="I38" s="55"/>
      <c r="L38" s="55"/>
      <c r="M38" s="55"/>
    </row>
    <row r="39" spans="2:13" ht="15.6" thickTop="1" thickBot="1">
      <c r="C39" s="6"/>
      <c r="E39" s="38"/>
    </row>
    <row r="40" spans="2:13" ht="15" thickTop="1" thickBot="1">
      <c r="C40" s="15" t="s">
        <v>107</v>
      </c>
      <c r="D40" s="106"/>
      <c r="E40" s="76" t="s">
        <v>108</v>
      </c>
      <c r="F40" s="35"/>
      <c r="G40" s="35"/>
    </row>
    <row r="41" spans="2:13" ht="14.4" customHeight="1" thickTop="1">
      <c r="C41" s="376"/>
      <c r="D41" s="376"/>
      <c r="E41" s="11"/>
      <c r="F41" s="11"/>
      <c r="G41" s="11"/>
      <c r="H41" s="11"/>
    </row>
    <row r="42" spans="2:13">
      <c r="C42" s="376"/>
      <c r="D42" s="376"/>
      <c r="E42" s="11"/>
      <c r="F42" s="11"/>
      <c r="G42" s="11"/>
      <c r="H42" s="11"/>
    </row>
  </sheetData>
  <mergeCells count="30">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 ref="B3:C3"/>
    <mergeCell ref="B4:B5"/>
    <mergeCell ref="C4:C5"/>
    <mergeCell ref="D4:D5"/>
    <mergeCell ref="E4:F4"/>
    <mergeCell ref="B27:B28"/>
    <mergeCell ref="B15:B16"/>
    <mergeCell ref="C15:C16"/>
    <mergeCell ref="B23:B24"/>
    <mergeCell ref="C23:C24"/>
    <mergeCell ref="B25:B26"/>
    <mergeCell ref="C25:C26"/>
    <mergeCell ref="B21:B22"/>
    <mergeCell ref="C21:C22"/>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showRowColHeaders="0" zoomScaleNormal="100" workbookViewId="0"/>
  </sheetViews>
  <sheetFormatPr defaultColWidth="10" defaultRowHeight="13.8"/>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c r="A1" s="232"/>
      <c r="B1" s="397" t="s">
        <v>19</v>
      </c>
      <c r="C1" s="397"/>
      <c r="D1" s="232"/>
      <c r="E1" s="19"/>
      <c r="F1" s="19"/>
    </row>
    <row r="2" spans="1:12" ht="14.4" thickBot="1">
      <c r="A2" s="233" t="s">
        <v>20</v>
      </c>
      <c r="B2" s="19"/>
      <c r="C2" s="19"/>
      <c r="D2" s="19"/>
      <c r="E2" s="19"/>
      <c r="F2" s="19"/>
    </row>
    <row r="3" spans="1:12" ht="34.5" customHeight="1" thickTop="1" thickBot="1">
      <c r="A3" s="227"/>
      <c r="B3" s="398" t="s">
        <v>273</v>
      </c>
      <c r="C3" s="399"/>
      <c r="D3" s="399"/>
      <c r="E3" s="399"/>
      <c r="F3" s="400"/>
    </row>
    <row r="4" spans="1:12" ht="41.25" customHeight="1" thickBot="1">
      <c r="A4" s="19"/>
      <c r="B4" s="178" t="s">
        <v>152</v>
      </c>
      <c r="C4" s="108" t="s">
        <v>153</v>
      </c>
      <c r="D4" s="108" t="s">
        <v>154</v>
      </c>
      <c r="E4" s="401" t="s">
        <v>155</v>
      </c>
      <c r="F4" s="402"/>
      <c r="J4" s="41"/>
      <c r="K4" s="41"/>
      <c r="L4" s="41"/>
    </row>
    <row r="5" spans="1:12" ht="33" customHeight="1" thickBot="1">
      <c r="A5" s="19"/>
      <c r="B5" s="403" t="s">
        <v>156</v>
      </c>
      <c r="C5" s="404"/>
      <c r="D5" s="404"/>
      <c r="E5" s="177" t="s">
        <v>23</v>
      </c>
      <c r="F5" s="128" t="s">
        <v>24</v>
      </c>
      <c r="J5" s="41"/>
      <c r="K5" s="41"/>
      <c r="L5" s="41"/>
    </row>
    <row r="6" spans="1:12" ht="14.25" customHeight="1">
      <c r="A6" s="19"/>
      <c r="B6" s="405"/>
      <c r="C6" s="230" t="s">
        <v>157</v>
      </c>
      <c r="D6" s="421"/>
      <c r="E6" s="412" t="str">
        <f>"Taip"</f>
        <v>Taip</v>
      </c>
      <c r="F6" s="413"/>
    </row>
    <row r="7" spans="1:12" ht="14.25" customHeight="1" thickBot="1">
      <c r="A7" s="19"/>
      <c r="B7" s="406"/>
      <c r="C7" s="231" t="s">
        <v>29</v>
      </c>
      <c r="D7" s="422"/>
      <c r="E7" s="419" t="str">
        <f>"Yes"</f>
        <v>Yes</v>
      </c>
      <c r="F7" s="420"/>
    </row>
    <row r="8" spans="1:12" ht="18" customHeight="1">
      <c r="A8" s="19"/>
      <c r="B8" s="381" t="s">
        <v>297</v>
      </c>
      <c r="C8" s="390" t="s">
        <v>158</v>
      </c>
      <c r="D8" s="392" t="s">
        <v>159</v>
      </c>
      <c r="E8" s="112" t="str">
        <f>IF(E28&gt;eps,"Tiesa","Netiesa")</f>
        <v>Tiesa</v>
      </c>
      <c r="F8" s="129" t="str">
        <f>IF(F28&gt;eps,"Tiesa","Netiesa")</f>
        <v>Tiesa</v>
      </c>
    </row>
    <row r="9" spans="1:12" ht="15.75" customHeight="1">
      <c r="A9" s="19"/>
      <c r="B9" s="382"/>
      <c r="C9" s="391"/>
      <c r="D9" s="393"/>
      <c r="E9" s="163" t="str">
        <f>CONCATENATE(FIXED(E28,1),IF(E28+eps&gt;=0," ≥ "," &lt; "),FIXED(0,1))</f>
        <v>0,1 ≥ 0,0</v>
      </c>
      <c r="F9" s="221" t="str">
        <f>CONCATENATE(FIXED(F28,1),IF(F28+eps&gt;=0," ≥ "," &lt; "),FIXED(0,1))</f>
        <v>0,1 ≥ 0,0</v>
      </c>
      <c r="H9" s="24"/>
    </row>
    <row r="10" spans="1:12" ht="15" thickBot="1">
      <c r="A10" s="19"/>
      <c r="B10" s="389"/>
      <c r="C10" s="222" t="s">
        <v>160</v>
      </c>
      <c r="D10" s="394"/>
      <c r="E10" s="171" t="str">
        <f>IF(E8="Tiesa","True","False")</f>
        <v>True</v>
      </c>
      <c r="F10" s="130" t="str">
        <f>IF(F8="Tiesa","True","False")</f>
        <v>True</v>
      </c>
      <c r="H10" s="24"/>
    </row>
    <row r="11" spans="1:12" ht="36" customHeight="1">
      <c r="A11" s="19"/>
      <c r="B11" s="381" t="s">
        <v>298</v>
      </c>
      <c r="C11" s="390" t="s">
        <v>161</v>
      </c>
      <c r="D11" s="392" t="s">
        <v>162</v>
      </c>
      <c r="E11" s="112" t="str">
        <f>IF((ABS(E28)+eps&lt;ABS($E$30))*(ABS(E28)&lt;ABS(E29))*(E31&gt;=-eps),"Tiesa","Netiesa")</f>
        <v>Netiesa</v>
      </c>
      <c r="F11" s="129" t="str">
        <f>IF((ABS(F28)+eps&lt;ABS($E$30))*(ABS(F28)&lt;ABS(F29))*(F31&gt;=-eps),"Tiesa","Netiesa")</f>
        <v>Netiesa</v>
      </c>
      <c r="I11" s="12"/>
    </row>
    <row r="12" spans="1:12" ht="43.5" customHeight="1">
      <c r="A12" s="19"/>
      <c r="B12" s="382"/>
      <c r="C12" s="391"/>
      <c r="D12" s="393"/>
      <c r="E12" s="114" t="str">
        <f>CONCATENATE(FIXED(ABS(E28),1),IF(ABS(E28)+eps&lt;ABS($E$30)," &lt; "," ≥ "),FIXED(ABS($E$30),1)," &amp;
",FIXED(ABS(E28),1),IF(ABS(E28)&lt;ABS(E29)," &lt; "," ≥ "),FIXED(ABS(E29),1)," &amp;
",FIXED(E31,1),IF(E31&lt;-eps," &lt; "," ≥ "),FIXED(0,1))</f>
        <v>0,1 &lt; 1,0 &amp;
0,1 &lt; 1,4 &amp;
-2,0 &lt; 0,0</v>
      </c>
      <c r="F12" s="223" t="str">
        <f>CONCATENATE(FIXED(ABS(F28),1),IF(ABS(F28)+eps&lt;ABS($E$30)," &lt; "," ≥ "),FIXED(ABS($E$30),1)," &amp;
",FIXED(ABS(F28),1),IF(ABS(F28)&lt;ABS(F29)," &lt; "," ≥ "),FIXED(ABS(F29),1)," &amp;
",FIXED(F31,1),IF(F31&lt;-eps," &lt; "," ≥ "),FIXED(0,1))</f>
        <v>0,1 &lt; 1,0 &amp;
0,1 &lt; 1,5 &amp;
-1,8 &lt; 0,0</v>
      </c>
      <c r="G12" s="25"/>
      <c r="H12" s="26"/>
      <c r="I12" s="12"/>
      <c r="J12" s="12"/>
    </row>
    <row r="13" spans="1:12" ht="45" customHeight="1" thickBot="1">
      <c r="A13" s="19"/>
      <c r="B13" s="389"/>
      <c r="C13" s="222" t="s">
        <v>163</v>
      </c>
      <c r="D13" s="394"/>
      <c r="E13" s="113" t="str">
        <f>IF(E11="Tiesa","True","False")</f>
        <v>False</v>
      </c>
      <c r="F13" s="131" t="str">
        <f>IF(F11="Tiesa","True","False")</f>
        <v>False</v>
      </c>
      <c r="G13" s="25"/>
      <c r="H13" s="26"/>
      <c r="I13" s="12"/>
      <c r="J13" s="12"/>
    </row>
    <row r="14" spans="1:12" ht="33.75" customHeight="1">
      <c r="A14" s="19"/>
      <c r="B14" s="381" t="s">
        <v>299</v>
      </c>
      <c r="C14" s="390" t="s">
        <v>164</v>
      </c>
      <c r="D14" s="392" t="s">
        <v>165</v>
      </c>
      <c r="E14" s="112" t="str">
        <f>IF((ABS(E28)+eps&lt;ABS($E$30))*(E31&lt;-eps),"Tiesa","Netiesa")</f>
        <v>Tiesa</v>
      </c>
      <c r="F14" s="129" t="str">
        <f>IF((ABS(F28)+eps&lt;ABS($E$30))*(F31&lt;-eps),"Tiesa","Netiesa")</f>
        <v>Tiesa</v>
      </c>
      <c r="I14" s="12"/>
      <c r="J14" s="12"/>
    </row>
    <row r="15" spans="1:12" ht="33" customHeight="1">
      <c r="A15" s="19"/>
      <c r="B15" s="382"/>
      <c r="C15" s="391"/>
      <c r="D15" s="393"/>
      <c r="E15" s="114" t="str">
        <f>CONCATENATE(FIXED(ABS(E28),1),IF(ABS(E28)+eps&lt;ABS($E$30)," &lt; "," ≥ "),FIXED(ABS($E$30),1)," &amp;
",FIXED(E31,1),IF(E31&lt;-eps," &lt; "," ≥ "),FIXED(0,1))</f>
        <v>0,1 &lt; 1,0 &amp;
-2,0 &lt; 0,0</v>
      </c>
      <c r="F15" s="223" t="str">
        <f>CONCATENATE(FIXED(ABS(F28),1),IF(ABS(F28)+eps&lt;ABS($E$30)," &lt; "," ≥ "),FIXED(ABS($E$30),1)," &amp;
",FIXED(F31,1),IF(F31&lt;-eps," &lt; "," ≥ "),FIXED(0,1))</f>
        <v>0,1 &lt; 1,0 &amp;
-1,8 &lt; 0,0</v>
      </c>
    </row>
    <row r="16" spans="1:12" ht="44.25" customHeight="1" thickBot="1">
      <c r="A16" s="19"/>
      <c r="B16" s="389"/>
      <c r="C16" s="222" t="s">
        <v>166</v>
      </c>
      <c r="D16" s="394"/>
      <c r="E16" s="113" t="str">
        <f>IF(E14="Tiesa","True","False")</f>
        <v>True</v>
      </c>
      <c r="F16" s="132" t="str">
        <f>IF(F14="Tiesa","True","False")</f>
        <v>True</v>
      </c>
    </row>
    <row r="17" spans="1:6" ht="34.5" customHeight="1">
      <c r="A17" s="19"/>
      <c r="B17" s="381" t="s">
        <v>300</v>
      </c>
      <c r="C17" s="384" t="s">
        <v>167</v>
      </c>
      <c r="D17" s="386" t="s">
        <v>168</v>
      </c>
      <c r="E17" s="112" t="str">
        <f>IF(($E$32&gt;0),IF((E28&gt;=E29+$E$32),"Tiesa","Netiesa"),"Netaikoma")</f>
        <v>Netaikoma</v>
      </c>
      <c r="F17" s="133" t="str">
        <f>IF(($E$32&gt;0),IF((E28&gt;=E29+$E$32),"Tiesa","Netiesa"),"Netaikoma")</f>
        <v>Netaikoma</v>
      </c>
    </row>
    <row r="18" spans="1:6" ht="15.75" customHeight="1">
      <c r="A18" s="19"/>
      <c r="B18" s="382"/>
      <c r="C18" s="385"/>
      <c r="D18" s="387"/>
      <c r="E18" s="114" t="str">
        <f>IF($E$32=0,"",CONCATENATE(FIXED(E28,1),IF(E28&gt;=E29+$E$32," ≥ "," &lt; "),FIXED(E29,1)," + ",FIXED($E$32,1)," = ",FIXED(E29+$E$32,1)))</f>
        <v/>
      </c>
      <c r="F18" s="223" t="str">
        <f>IF($E$32=0,"",CONCATENATE(FIXED(F28,1),IF(F28&gt;=F29+$E$32," ≥ "," &lt; "),FIXED(F29,1)," + ",FIXED($E$32,1)," = ",FIXED(F29+$E$32,1)))</f>
        <v/>
      </c>
    </row>
    <row r="19" spans="1:6" ht="47.25" customHeight="1" thickBot="1">
      <c r="A19" s="19"/>
      <c r="B19" s="389"/>
      <c r="C19" s="224" t="s">
        <v>169</v>
      </c>
      <c r="D19" s="388"/>
      <c r="E19" s="113" t="str">
        <f>IF(E17="Tiesa","True",IF(E17="Netaikoma","Not applicable","False"))</f>
        <v>Not applicable</v>
      </c>
      <c r="F19" s="132" t="str">
        <f>IF(F17="Tiesa","True",IF(F17="Netaikoma","Not applicable","False"))</f>
        <v>Not applicable</v>
      </c>
    </row>
    <row r="20" spans="1:6">
      <c r="A20" s="19"/>
      <c r="B20" s="381" t="s">
        <v>170</v>
      </c>
      <c r="C20" s="416" t="s">
        <v>276</v>
      </c>
      <c r="D20" s="386"/>
      <c r="E20" s="174" t="str">
        <f>IF(E6="Taip","Netaikoma", IF(OR(E8="Tiesa",E11="Tiesa",E14="Tiesa",E17="Tiesa"),"Taip","Ne"))</f>
        <v>Netaikoma</v>
      </c>
      <c r="F20" s="134" t="str">
        <f>IF(E6="Taip","Netaikoma", IF(OR(F8="Tiesa",F11="Tiesa",F14="Tiesa",F17="Tiesa"),"Taip","Ne"))</f>
        <v>Netaikoma</v>
      </c>
    </row>
    <row r="21" spans="1:6" ht="43.95" customHeight="1">
      <c r="A21" s="19"/>
      <c r="B21" s="382"/>
      <c r="C21" s="417"/>
      <c r="D21" s="387"/>
      <c r="E21" s="175"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35"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1:6" ht="21" customHeight="1">
      <c r="A22" s="19"/>
      <c r="B22" s="382"/>
      <c r="C22" s="395" t="s">
        <v>171</v>
      </c>
      <c r="D22" s="387"/>
      <c r="E22" s="181" t="str">
        <f>IF(E20="Taip","Yes",IF(E20="Netaikoma","Not applicable","False"))</f>
        <v>Not applicable</v>
      </c>
      <c r="F22" s="136" t="str">
        <f>IF(F20="Taip","Yes",IF(F20="Netaikoma","Not applicable","False"))</f>
        <v>Not applicable</v>
      </c>
    </row>
    <row r="23" spans="1:6" ht="28.5" customHeight="1" thickBot="1">
      <c r="A23" s="19"/>
      <c r="B23" s="383"/>
      <c r="C23" s="396"/>
      <c r="D23" s="418"/>
      <c r="E23" s="182"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37"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1:6" ht="15.75" customHeight="1" thickTop="1">
      <c r="A24" s="19"/>
      <c r="B24" s="19"/>
      <c r="C24" s="407" t="s">
        <v>172</v>
      </c>
      <c r="D24" s="407"/>
      <c r="E24" s="407"/>
      <c r="F24" s="407"/>
    </row>
    <row r="25" spans="1:6" ht="15.75" customHeight="1">
      <c r="A25" s="19"/>
      <c r="B25" s="19"/>
      <c r="C25" s="423" t="s">
        <v>173</v>
      </c>
      <c r="D25" s="423"/>
      <c r="E25" s="423"/>
      <c r="F25" s="423"/>
    </row>
    <row r="26" spans="1:6" ht="14.4" thickBot="1">
      <c r="A26" s="19"/>
      <c r="B26" s="19"/>
      <c r="C26" s="225" t="s">
        <v>174</v>
      </c>
      <c r="D26" s="226"/>
      <c r="E26" s="227"/>
      <c r="F26" s="227"/>
    </row>
    <row r="27" spans="1:6" ht="14.4" thickBot="1">
      <c r="A27" s="19"/>
      <c r="B27" s="19"/>
      <c r="C27" s="228" t="s">
        <v>175</v>
      </c>
      <c r="D27" s="229" t="s">
        <v>176</v>
      </c>
      <c r="E27" s="408">
        <f>metai</f>
        <v>2023</v>
      </c>
      <c r="F27" s="409"/>
    </row>
    <row r="28" spans="1:6" ht="14.4" thickBot="1">
      <c r="A28" s="19"/>
      <c r="B28" s="19"/>
      <c r="C28" s="19"/>
      <c r="D28" s="229" t="s">
        <v>177</v>
      </c>
      <c r="E28" s="269">
        <f>'3. GGbudget'!F30</f>
        <v>0.13836161088639937</v>
      </c>
      <c r="F28" s="270">
        <f>'3. GGbudget'!H30</f>
        <v>5.579535010497455E-2</v>
      </c>
    </row>
    <row r="29" spans="1:6" ht="14.4" thickBot="1">
      <c r="A29" s="19"/>
      <c r="B29" s="19"/>
      <c r="C29" s="19"/>
      <c r="D29" s="229" t="s">
        <v>178</v>
      </c>
      <c r="E29" s="269">
        <f>'3. GGbudget'!E30</f>
        <v>-1.391730374577554</v>
      </c>
      <c r="F29" s="270">
        <f>'3. GGbudget'!G30</f>
        <v>-1.542794125404686</v>
      </c>
    </row>
    <row r="30" spans="1:6" ht="14.4" thickBot="1">
      <c r="A30" s="19"/>
      <c r="B30" s="19"/>
      <c r="C30" s="19"/>
      <c r="D30" s="229" t="s">
        <v>179</v>
      </c>
      <c r="E30" s="410">
        <f>'3. GGbudget'!F33</f>
        <v>-1</v>
      </c>
      <c r="F30" s="411"/>
    </row>
    <row r="31" spans="1:6" ht="14.4" thickBot="1">
      <c r="A31" s="19"/>
      <c r="B31" s="19"/>
      <c r="C31" s="19"/>
      <c r="D31" s="229" t="s">
        <v>180</v>
      </c>
      <c r="E31" s="269">
        <f>'2. Macro'!M20</f>
        <v>-1.9752703652941794</v>
      </c>
      <c r="F31" s="270">
        <f>'2. Macro'!M19</f>
        <v>-1.768337380879581</v>
      </c>
    </row>
    <row r="32" spans="1:6" ht="14.4" thickBot="1">
      <c r="A32" s="19"/>
      <c r="B32" s="19"/>
      <c r="C32" s="19"/>
      <c r="D32" s="229" t="s">
        <v>181</v>
      </c>
      <c r="E32" s="414">
        <f>'3. GGbudget'!F34</f>
        <v>0</v>
      </c>
      <c r="F32" s="415"/>
    </row>
    <row r="33" spans="1:9" ht="15" thickBot="1">
      <c r="A33" s="19"/>
      <c r="B33" s="19"/>
      <c r="C33" s="19"/>
      <c r="D33" s="229" t="s">
        <v>47</v>
      </c>
      <c r="E33" s="19"/>
      <c r="F33" s="19"/>
      <c r="G33" s="44" t="s">
        <v>48</v>
      </c>
    </row>
    <row r="34" spans="1:9" ht="15" thickBot="1">
      <c r="A34" s="19"/>
      <c r="B34" s="19"/>
      <c r="C34" s="229"/>
      <c r="D34" s="229" t="s">
        <v>49</v>
      </c>
      <c r="E34" s="375" t="s">
        <v>23</v>
      </c>
      <c r="F34" s="375"/>
      <c r="G34" s="44" t="s">
        <v>50</v>
      </c>
    </row>
    <row r="35" spans="1:9" ht="15" thickBot="1">
      <c r="A35" s="19"/>
      <c r="B35" s="19"/>
      <c r="C35" s="229"/>
      <c r="D35" s="229" t="s">
        <v>51</v>
      </c>
      <c r="E35" s="377" t="s">
        <v>24</v>
      </c>
      <c r="F35" s="377"/>
      <c r="G35" s="38" t="s">
        <v>52</v>
      </c>
    </row>
    <row r="36" spans="1:9" s="8" customFormat="1" ht="14.4">
      <c r="C36" s="28" t="s">
        <v>182</v>
      </c>
      <c r="D36" s="29" t="s">
        <v>183</v>
      </c>
      <c r="E36" s="39">
        <f>J13*1</f>
        <v>0</v>
      </c>
      <c r="F36" s="30"/>
    </row>
    <row r="37" spans="1:9" s="8" customFormat="1" ht="14.4">
      <c r="C37" s="28" t="s">
        <v>184</v>
      </c>
      <c r="D37" s="29" t="s">
        <v>185</v>
      </c>
      <c r="E37" s="39">
        <f>J15*1</f>
        <v>0</v>
      </c>
      <c r="F37" s="30"/>
    </row>
    <row r="38" spans="1:9" s="8" customFormat="1" ht="14.4">
      <c r="C38" s="28" t="s">
        <v>186</v>
      </c>
      <c r="D38" s="29" t="s">
        <v>187</v>
      </c>
      <c r="E38" s="39">
        <f>J17*1</f>
        <v>0</v>
      </c>
      <c r="F38" s="30"/>
      <c r="G38" s="31"/>
    </row>
    <row r="39" spans="1:9" s="8" customFormat="1" ht="14.4">
      <c r="C39" s="28" t="s">
        <v>188</v>
      </c>
      <c r="D39" s="29" t="s">
        <v>189</v>
      </c>
      <c r="E39" s="39">
        <f>J19*1</f>
        <v>0</v>
      </c>
      <c r="F39" s="30"/>
      <c r="G39" s="31"/>
    </row>
    <row r="40" spans="1:9" s="8" customFormat="1" ht="14.4">
      <c r="E40" s="39">
        <f>SUM(E36:E39)</f>
        <v>0</v>
      </c>
      <c r="F40" s="30"/>
    </row>
    <row r="41" spans="1:9" ht="14.4">
      <c r="C41" s="10"/>
      <c r="D41" s="10"/>
      <c r="E41" s="40"/>
      <c r="F41" s="10"/>
      <c r="G41" s="8"/>
      <c r="H41" s="8"/>
      <c r="I41" s="8"/>
    </row>
    <row r="42" spans="1:9">
      <c r="C42" s="10"/>
      <c r="D42" s="10"/>
      <c r="E42" s="10"/>
      <c r="F42" s="10"/>
      <c r="G42" s="8"/>
      <c r="H42" s="8"/>
      <c r="I42" s="8"/>
    </row>
    <row r="43" spans="1:9">
      <c r="C43" s="12"/>
      <c r="D43" s="10"/>
      <c r="E43" s="10"/>
      <c r="F43" s="10"/>
    </row>
    <row r="44" spans="1:9">
      <c r="C44" s="12"/>
      <c r="D44" s="10"/>
      <c r="E44" s="10"/>
      <c r="F44" s="10"/>
    </row>
    <row r="45" spans="1:9">
      <c r="C45" s="12"/>
      <c r="D45" s="12"/>
      <c r="E45" s="12"/>
      <c r="F45" s="12"/>
    </row>
  </sheetData>
  <mergeCells count="31">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 ref="B11:B13"/>
    <mergeCell ref="B1:C1"/>
    <mergeCell ref="B3:F3"/>
    <mergeCell ref="E4:F4"/>
    <mergeCell ref="C8:C9"/>
    <mergeCell ref="D8:D10"/>
    <mergeCell ref="B8:B10"/>
    <mergeCell ref="B5:D5"/>
    <mergeCell ref="B6:B7"/>
    <mergeCell ref="B20:B23"/>
    <mergeCell ref="C17:C18"/>
    <mergeCell ref="D17:D19"/>
    <mergeCell ref="B17:B19"/>
    <mergeCell ref="C14:C15"/>
    <mergeCell ref="D14:D16"/>
    <mergeCell ref="B14:B16"/>
    <mergeCell ref="C22:C23"/>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J70"/>
  <sheetViews>
    <sheetView showGridLines="0" showRowColHeaders="0" zoomScaleNormal="100" workbookViewId="0"/>
  </sheetViews>
  <sheetFormatPr defaultColWidth="10" defaultRowHeight="13.8"/>
  <cols>
    <col min="1" max="1" width="3.6640625" style="1" customWidth="1"/>
    <col min="2" max="2" width="5.5546875" style="36" customWidth="1"/>
    <col min="3" max="3" width="100.6640625" style="1" customWidth="1"/>
    <col min="4" max="4" width="14.5546875" style="1" customWidth="1"/>
    <col min="5" max="5" width="25.44140625" style="1" customWidth="1"/>
    <col min="6" max="7" width="17" style="1" customWidth="1"/>
    <col min="8" max="8" width="12" style="1" customWidth="1"/>
    <col min="9" max="16384" width="10" style="1"/>
  </cols>
  <sheetData>
    <row r="1" spans="1:10">
      <c r="A1" s="2"/>
      <c r="B1" s="430" t="s">
        <v>19</v>
      </c>
      <c r="C1" s="430"/>
    </row>
    <row r="2" spans="1:10" ht="14.4" thickBot="1">
      <c r="A2" s="8" t="s">
        <v>20</v>
      </c>
    </row>
    <row r="3" spans="1:10" ht="39.75" customHeight="1" thickTop="1" thickBot="1">
      <c r="B3" s="398" t="s">
        <v>274</v>
      </c>
      <c r="C3" s="399"/>
      <c r="D3" s="399"/>
      <c r="E3" s="399"/>
      <c r="F3" s="399"/>
      <c r="G3" s="400"/>
    </row>
    <row r="4" spans="1:10" ht="30" customHeight="1" thickBot="1">
      <c r="B4" s="178" t="s">
        <v>190</v>
      </c>
      <c r="C4" s="234" t="s">
        <v>191</v>
      </c>
      <c r="D4" s="431" t="s">
        <v>154</v>
      </c>
      <c r="E4" s="432"/>
      <c r="F4" s="401" t="s">
        <v>155</v>
      </c>
      <c r="G4" s="402"/>
      <c r="H4" s="46"/>
    </row>
    <row r="5" spans="1:10" ht="33.75" customHeight="1" thickBot="1">
      <c r="B5" s="403" t="s">
        <v>156</v>
      </c>
      <c r="C5" s="404"/>
      <c r="D5" s="404"/>
      <c r="E5" s="404"/>
      <c r="F5" s="177" t="s">
        <v>23</v>
      </c>
      <c r="G5" s="128" t="s">
        <v>24</v>
      </c>
      <c r="H5" s="5"/>
      <c r="I5" s="5"/>
      <c r="J5" s="5"/>
    </row>
    <row r="6" spans="1:10" ht="15" customHeight="1">
      <c r="B6" s="405"/>
      <c r="C6" s="230" t="s">
        <v>157</v>
      </c>
      <c r="D6" s="421"/>
      <c r="E6" s="421"/>
      <c r="F6" s="412" t="str">
        <f t="shared" ref="F6" si="0">"Taip"</f>
        <v>Taip</v>
      </c>
      <c r="G6" s="413"/>
    </row>
    <row r="7" spans="1:10" ht="14.25" customHeight="1" thickBot="1">
      <c r="B7" s="406"/>
      <c r="C7" s="231" t="s">
        <v>29</v>
      </c>
      <c r="D7" s="422"/>
      <c r="E7" s="422"/>
      <c r="F7" s="419" t="str">
        <f t="shared" ref="F7" si="1">"Yes"</f>
        <v>Yes</v>
      </c>
      <c r="G7" s="420"/>
    </row>
    <row r="8" spans="1:10" ht="30" customHeight="1">
      <c r="B8" s="433" t="s">
        <v>291</v>
      </c>
      <c r="C8" s="390" t="s">
        <v>192</v>
      </c>
      <c r="D8" s="392"/>
      <c r="E8" s="392"/>
      <c r="F8" s="160" t="str">
        <f>IF(F51+eps&lt;AVERAGE('2. Macro'!G32:K32)+2,"Tiesa","Netiesa")</f>
        <v>Netiesa</v>
      </c>
      <c r="G8" s="138" t="str">
        <f>IF(F51+eps&lt;AVERAGE('2. Macro'!G32:K32)+2,"Tiesa","Netiesa")</f>
        <v>Netiesa</v>
      </c>
      <c r="H8" s="5"/>
      <c r="I8" s="5"/>
      <c r="J8" s="5"/>
    </row>
    <row r="9" spans="1:10" ht="19.5" customHeight="1">
      <c r="B9" s="434"/>
      <c r="C9" s="391"/>
      <c r="D9" s="393"/>
      <c r="E9" s="393"/>
      <c r="F9" s="163" t="str">
        <f>CONCATENATE(FIXED(F51,1),IF(F8="Tiesa"," &lt; "," ≥ "),FIXED(AVERAGE('2. Macro'!I32:M32)+2,1))</f>
        <v>6,7 ≥ 6,1</v>
      </c>
      <c r="G9" s="139" t="str">
        <f>CONCATENATE(FIXED(G51,1),IF(G8="Tiesa"," &lt; "," ≥ "),FIXED(AVERAGE('2. Macro'!I32:M32)+2,1))</f>
        <v>6,7 ≥ 6,1</v>
      </c>
      <c r="H9" s="5"/>
      <c r="I9" s="5"/>
      <c r="J9" s="5"/>
    </row>
    <row r="10" spans="1:10" ht="34.5" customHeight="1" thickBot="1">
      <c r="B10" s="435"/>
      <c r="C10" s="222" t="s">
        <v>193</v>
      </c>
      <c r="D10" s="394"/>
      <c r="E10" s="394"/>
      <c r="F10" s="171" t="str">
        <f>IF(F8="Tiesa","True","False")</f>
        <v>False</v>
      </c>
      <c r="G10" s="140" t="str">
        <f>IF(G8="Tiesa","True","False")</f>
        <v>False</v>
      </c>
      <c r="H10" s="5"/>
      <c r="I10" s="5"/>
      <c r="J10" s="5"/>
    </row>
    <row r="11" spans="1:10" ht="30" customHeight="1" thickBot="1">
      <c r="B11" s="436" t="s">
        <v>292</v>
      </c>
      <c r="C11" s="445" t="s">
        <v>194</v>
      </c>
      <c r="D11" s="439" t="s">
        <v>270</v>
      </c>
      <c r="E11" s="439"/>
      <c r="F11" s="160" t="str">
        <f>IF('3. GGbudget'!F8&gt;='3. GGbudget'!E8+1,"Tiesa","Netiesa")</f>
        <v>Netiesa</v>
      </c>
      <c r="G11" s="138" t="str">
        <f>IF('3. GGbudget'!H8&gt;='3. GGbudget'!G8+1,"Tiesa","Netiesa")</f>
        <v>Netiesa</v>
      </c>
    </row>
    <row r="12" spans="1:10" ht="15" customHeight="1" thickBot="1">
      <c r="B12" s="437"/>
      <c r="C12" s="446"/>
      <c r="D12" s="440"/>
      <c r="E12" s="440"/>
      <c r="F12" s="163" t="str">
        <f>CONCATENATE(FIXED('3. GGbudget'!F8-'3. GGbudget'!E8,1),IF(F11="Tiesa"," ≥ "," &lt; "),FIXED(1,1))</f>
        <v>-0,2 &lt; 1,0</v>
      </c>
      <c r="G12" s="139" t="str">
        <f>CONCATENATE(FIXED('3. GGbudget'!H8-'3. GGbudget'!G8,1),IF(G11="Tiesa"," ≥ "," &lt; "),FIXED(1,1))</f>
        <v>-0,2 &lt; 1,0</v>
      </c>
    </row>
    <row r="13" spans="1:10" ht="30" customHeight="1" thickBot="1">
      <c r="B13" s="438"/>
      <c r="C13" s="235" t="s">
        <v>195</v>
      </c>
      <c r="D13" s="441"/>
      <c r="E13" s="441"/>
      <c r="F13" s="171" t="str">
        <f>IF(F11="Tiesa","True","False")</f>
        <v>False</v>
      </c>
      <c r="G13" s="140" t="str">
        <f>IF(G11="Tiesa","True","False")</f>
        <v>False</v>
      </c>
    </row>
    <row r="14" spans="1:10" ht="27.75" customHeight="1" thickBot="1">
      <c r="B14" s="436" t="s">
        <v>293</v>
      </c>
      <c r="C14" s="445" t="s">
        <v>196</v>
      </c>
      <c r="D14" s="442"/>
      <c r="E14" s="442"/>
      <c r="F14" s="165" t="str">
        <f>IF(ROUND(AVERAGE('2. Macro'!G36:K36),1)&gt;=0.1,"Tiesa","Netiesa")</f>
        <v>Netiesa</v>
      </c>
      <c r="G14" s="141" t="str">
        <f>IF(ROUND(AVERAGE('2. Macro'!G35:K35),1)&gt;=0.1,"Tiesa","Netiesa")</f>
        <v>Netiesa</v>
      </c>
    </row>
    <row r="15" spans="1:10" ht="15" customHeight="1" thickBot="1">
      <c r="B15" s="437"/>
      <c r="C15" s="446"/>
      <c r="D15" s="443"/>
      <c r="E15" s="443"/>
      <c r="F15" s="172" t="str">
        <f>CONCATENATE(FIXED(AVERAGE('2. Macro'!G36:K36),1),IF(F14="Tiesa"," ≥ "," &lt; "),FIXED(0.1,1))</f>
        <v>-1,2 &lt; 0,1</v>
      </c>
      <c r="G15" s="142" t="str">
        <f>CONCATENATE(FIXED(AVERAGE('2. Macro'!G35:K35),1),IF(G14="Tiesa"," ≥ "," &lt; "),FIXED(0.1,1))</f>
        <v>-1,2 &lt; 0,1</v>
      </c>
    </row>
    <row r="16" spans="1:10" ht="29.4" thickBot="1">
      <c r="B16" s="438"/>
      <c r="C16" s="235" t="s">
        <v>197</v>
      </c>
      <c r="D16" s="444"/>
      <c r="E16" s="444"/>
      <c r="F16" s="173" t="str">
        <f>IF(F14="Tiesa","True","False")</f>
        <v>False</v>
      </c>
      <c r="G16" s="143" t="str">
        <f>IF(G14="Tiesa","True","False")</f>
        <v>False</v>
      </c>
    </row>
    <row r="17" spans="2:8" ht="51.75" customHeight="1">
      <c r="B17" s="433" t="s">
        <v>294</v>
      </c>
      <c r="C17" s="445" t="s">
        <v>198</v>
      </c>
      <c r="D17" s="392" t="s">
        <v>267</v>
      </c>
      <c r="E17" s="392"/>
      <c r="F17" s="160" t="str">
        <f>IF(F57="", "Netaikoma",IF(ROUND(F58,1)&gt;=F57,"Tiesa","Netiesa"))</f>
        <v>Netaikoma</v>
      </c>
      <c r="G17" s="138" t="str">
        <f>IF(F57="", "Netaikoma",IF(ROUND(G58,1)&gt;=G57,"Tiesa","Netiesa"))</f>
        <v>Netaikoma</v>
      </c>
    </row>
    <row r="18" spans="2:8" ht="18.75" customHeight="1">
      <c r="B18" s="434"/>
      <c r="C18" s="446"/>
      <c r="D18" s="393"/>
      <c r="E18" s="393"/>
      <c r="F18" s="172" t="str">
        <f>IF(F17="Netaikoma","",CONCATENATE(FIXED(F58,1),IF(F14="Tiesa"," ≥ "," &lt; "),FIXED(F57,1)))</f>
        <v/>
      </c>
      <c r="G18" s="139" t="str">
        <f>IF(F17="Netaikoma","",CONCATENATE(FIXED(G58,1),IF(G14="Tiesa"," ≥ "," &lt; "),FIXED(G57,1)))</f>
        <v/>
      </c>
    </row>
    <row r="19" spans="2:8" ht="51.75" customHeight="1" thickBot="1">
      <c r="B19" s="435"/>
      <c r="C19" s="222" t="s">
        <v>199</v>
      </c>
      <c r="D19" s="394"/>
      <c r="E19" s="394"/>
      <c r="F19" s="171" t="str">
        <f>IF(F17="Netaikoma","Not applicable",IF(F17="Tiesa","True","False"))</f>
        <v>Not applicable</v>
      </c>
      <c r="G19" s="140" t="str">
        <f>IF(F17="Netaikoma","Not applicable",IF(G17="Tiesa","True","False"))</f>
        <v>Not applicable</v>
      </c>
    </row>
    <row r="20" spans="2:8" ht="44.25" customHeight="1">
      <c r="B20" s="433" t="s">
        <v>295</v>
      </c>
      <c r="C20" s="445" t="s">
        <v>200</v>
      </c>
      <c r="D20" s="392" t="s">
        <v>201</v>
      </c>
      <c r="E20" s="392"/>
      <c r="F20" s="160" t="str">
        <f>IF(F52+eps&lt;0,"Tiesa","Netiesa")</f>
        <v>Tiesa</v>
      </c>
      <c r="G20" s="138" t="str">
        <f>IF(G52+eps&lt;0,"Tiesa","Netiesa")</f>
        <v>Tiesa</v>
      </c>
    </row>
    <row r="21" spans="2:8" ht="20.25" customHeight="1">
      <c r="B21" s="434"/>
      <c r="C21" s="446"/>
      <c r="D21" s="393"/>
      <c r="E21" s="393"/>
      <c r="F21" s="172" t="str">
        <f>CONCATENATE(FIXED(F52,1),IF(F20="Tiesa"," &lt; "," ≥ "),FIXED(0,1))</f>
        <v>-2,0 &lt; 0,0</v>
      </c>
      <c r="G21" s="139" t="str">
        <f>CONCATENATE(FIXED(G52,1),IF(G20="Tiesa"," &lt; "," ≥ "),FIXED(0,1))</f>
        <v>-1,8 &lt; 0,0</v>
      </c>
    </row>
    <row r="22" spans="2:8" ht="48" customHeight="1" thickBot="1">
      <c r="B22" s="435"/>
      <c r="C22" s="222" t="s">
        <v>202</v>
      </c>
      <c r="D22" s="394"/>
      <c r="E22" s="394"/>
      <c r="F22" s="171" t="str">
        <f>IF(F20="Tiesa","True","False")</f>
        <v>True</v>
      </c>
      <c r="G22" s="140" t="str">
        <f>IF(G20="Tiesa","True","False")</f>
        <v>True</v>
      </c>
    </row>
    <row r="23" spans="2:8" ht="21.75" customHeight="1">
      <c r="B23" s="381" t="s">
        <v>203</v>
      </c>
      <c r="C23" s="416" t="s">
        <v>281</v>
      </c>
      <c r="D23" s="421"/>
      <c r="E23" s="421"/>
      <c r="F23" s="174" t="str">
        <f>+IF((OR(F8="Tiesa",F11="Tiesa",F14="Tiesa",F20="Tiesa")),"Taip","Ne")</f>
        <v>Taip</v>
      </c>
      <c r="G23" s="134" t="str">
        <f>+IF((OR(G8="Tiesa",G11="Tiesa",G14="Tiesa",G20="Tiesa")),"Taip","Ne")</f>
        <v>Taip</v>
      </c>
      <c r="H23" s="32"/>
    </row>
    <row r="24" spans="2:8" ht="45.75" customHeight="1">
      <c r="B24" s="382"/>
      <c r="C24" s="417"/>
      <c r="D24" s="448"/>
      <c r="E24" s="448"/>
      <c r="F24" s="175" t="str">
        <f>IF(F23="Taip",CONCATENATE("Susidaro ", IF(F64=1,CONCATENATE(H64," "),""),IF(F65=1,CONCATENATE(H65," "),""),IF(F66=1,CONCATENATE(H66," "),""),IF(F67=1,CONCATENATE(H67," "),""),IF(F68=1,CONCATENATE(H68," "),""),IF(F69=1,"aplinkybė","aplinkybės")),"Išimčių nėra")</f>
        <v>Susidaro A5 aplinkybė</v>
      </c>
      <c r="G24" s="135" t="str">
        <f>IF(G23="Taip",CONCATENATE("Susidaro ", IF(G64=1,CONCATENATE(I64," "),""),IF(G65=1,CONCATENATE(I65," "),""),IF(G66=1,CONCATENATE(I66," "),""),IF(G67=1,CONCATENATE(I67," "),""),IF(G68=1,CONCATENATE(I68," "),""),IF(G69=1,"aplinkybė","aplinkybės")),"Išimčių nėra")</f>
        <v>Susidaro A5 aplinkybė</v>
      </c>
    </row>
    <row r="25" spans="2:8" ht="18" customHeight="1">
      <c r="B25" s="382"/>
      <c r="C25" s="395" t="s">
        <v>204</v>
      </c>
      <c r="D25" s="448"/>
      <c r="E25" s="448"/>
      <c r="F25" s="176" t="str">
        <f>IF(F23="Taip","Yes","No")</f>
        <v>Yes</v>
      </c>
      <c r="G25" s="144" t="str">
        <f>IF(G23="Taip","Yes","No")</f>
        <v>Yes</v>
      </c>
    </row>
    <row r="26" spans="2:8" ht="55.5" customHeight="1" thickBot="1">
      <c r="B26" s="389"/>
      <c r="C26" s="449"/>
      <c r="D26" s="422"/>
      <c r="E26" s="422"/>
      <c r="F26" s="162" t="str">
        <f>IF(F25="Yes",CONCATENATE(IF(F69=1,"Escape clause ","Escape clauses "), IF(F64=1,CONCATENATE(H64," "),""),IF(F65=1,CONCATENATE(H65," "),""),IF(F66=1,CONCATENATE(H66," "),""),IF(F67=1,CONCATENATE(H67," "),""),IF(F68=1,CONCATENATE(H68," "),""),"emerge"),"No escape clauses emerge")</f>
        <v>Escape clause A5 emerge</v>
      </c>
      <c r="G26" s="145" t="str">
        <f>IF(G25="Yes",CONCATENATE(IF(G69=1,"Escape clause ","Escape clauses "), IF(G64=1,CONCATENATE(I64," "),""),IF(G65=1,CONCATENATE(I65," "),""),IF(G66=1,CONCATENATE(I66," "),""),IF(G67=1,CONCATENATE(I67," "),""),IF(G68=1,CONCATENATE(I68," "),""),"emerge"),"No escape clauses emerge")</f>
        <v>Escape clause A5 emerge</v>
      </c>
    </row>
    <row r="27" spans="2:8" ht="33.75" customHeight="1" thickBot="1">
      <c r="B27" s="179" t="s">
        <v>277</v>
      </c>
      <c r="C27" s="180" t="s">
        <v>278</v>
      </c>
      <c r="D27" s="454" t="s">
        <v>279</v>
      </c>
      <c r="E27" s="455"/>
      <c r="F27" s="452" t="s">
        <v>280</v>
      </c>
      <c r="G27" s="453"/>
      <c r="H27" s="33"/>
    </row>
    <row r="28" spans="2:8" ht="32.25" customHeight="1">
      <c r="B28" s="381" t="s">
        <v>296</v>
      </c>
      <c r="C28" s="447" t="s">
        <v>205</v>
      </c>
      <c r="D28" s="236"/>
      <c r="E28" s="237"/>
      <c r="F28" s="168" t="str">
        <f>IF((F23="Taip"),"",IF(AVERAGE('2. Macro'!G36:K36)+eps&lt;0,"Tiesa","Netiesa"))</f>
        <v/>
      </c>
      <c r="G28" s="146" t="str">
        <f>IF((G23="Taip"),"",IF(AVERAGE('2. Macro'!G35:K35)+eps&lt;0,"Tiesa","Netiesa"))</f>
        <v/>
      </c>
    </row>
    <row r="29" spans="2:8" ht="15.75" customHeight="1">
      <c r="B29" s="382"/>
      <c r="C29" s="447"/>
      <c r="D29" s="89" t="s">
        <v>206</v>
      </c>
      <c r="E29" s="238"/>
      <c r="F29" s="114" t="str">
        <f>IF((F23="Taip"),"",CONCATENATE(FIXED(AVERAGE('2. Macro'!G36:K36),1),IF(F28="Tiesa"," &lt; "," ≥ "),FIXED(0,1)))</f>
        <v/>
      </c>
      <c r="G29" s="147" t="str">
        <f>IF((G23="Taip"),"",CONCATENATE(FIXED(AVERAGE('2. Macro'!G35:K35),1),IF(G28="Tiesa"," &lt; "," ≥ "),FIXED(0,1)))</f>
        <v/>
      </c>
    </row>
    <row r="30" spans="2:8" ht="18" customHeight="1" thickBot="1">
      <c r="B30" s="382"/>
      <c r="C30" s="447"/>
      <c r="D30" s="89"/>
      <c r="E30" s="238"/>
      <c r="F30" s="169" t="str">
        <f>IF(F25="Yes","",IF(F28="Tiesa","True","False"))</f>
        <v/>
      </c>
      <c r="G30" s="148" t="str">
        <f>IF(G25="Yes","",IF(G28="Tiesa","True","False"))</f>
        <v/>
      </c>
    </row>
    <row r="31" spans="2:8" ht="24" customHeight="1">
      <c r="B31" s="382"/>
      <c r="C31" s="447"/>
      <c r="D31" s="236"/>
      <c r="E31" s="237"/>
      <c r="F31" s="168" t="str">
        <f>IF(OR(F23="Taip",F28="Netiesa",F6="Taip"),"Netaikoma", IF(F53&lt;=(F54)*(0.5*F56),"Tenkinama","Netenkinama"))</f>
        <v>Netaikoma</v>
      </c>
      <c r="G31" s="146" t="str">
        <f>IF(OR(G23="Taip",G28="Netiesa",F6="Taip"),"Netaikoma", IF(G53&lt;=(G54)*(0.5*G56),"Tenkinama","Netenkinama"))</f>
        <v>Netaikoma</v>
      </c>
    </row>
    <row r="32" spans="2:8" ht="69" customHeight="1">
      <c r="B32" s="382"/>
      <c r="C32" s="447"/>
      <c r="D32" s="89"/>
      <c r="E32" s="238"/>
      <c r="F32" s="114" t="str">
        <f>IF(F6="Taip", "Paskelbtos išskirtinės aplinkybės",IF(F23="Taip",IF(F69=1,"Susidarė viena iš KĮ numatytų netaikymo aplinkybių","Susidarė KĮ numatytos netaikymo aplinkybės"),CONCATENATE(ROUND(($G$39-F41)/($G$40-F42),3),IF(F31="Tiesa"," ≤ "," &gt; "), ROUND(0.5*F56,3))))</f>
        <v>Paskelbtos išskirtinės aplinkybės</v>
      </c>
      <c r="G32" s="149" t="str">
        <f>IF(F6="Taip", "Paskelbtos išskirtinės aplinkybės",IF(G23="Taip",IF(G69=1,"Susidarė viena iš KĮ numatytų netaikymo aplinkybių","Susidarė KĮ numatytos netaikymo aplinkybės"),CONCATENATE(ROUND(G55,3),IF(G31="Tenkinama"," ≤ "," &gt; "), ROUND(0.5*G56,3))))</f>
        <v>Paskelbtos išskirtinės aplinkybės</v>
      </c>
    </row>
    <row r="33" spans="2:8" ht="21" customHeight="1">
      <c r="B33" s="382"/>
      <c r="C33" s="450" t="s">
        <v>207</v>
      </c>
      <c r="D33" s="89"/>
      <c r="E33" s="238"/>
      <c r="F33" s="170" t="str">
        <f>IF(F31="Netaikoma","Not applied",IF(F31="Tiesa","True","False"))</f>
        <v>Not applied</v>
      </c>
      <c r="G33" s="150" t="str">
        <f>IF(G31="Netaikoma","Not applied",IF(G31="Tenkinama","True","False"))</f>
        <v>Not applied</v>
      </c>
    </row>
    <row r="34" spans="2:8" ht="70.5" customHeight="1" thickBot="1">
      <c r="B34" s="383"/>
      <c r="C34" s="451"/>
      <c r="D34" s="239"/>
      <c r="E34" s="240"/>
      <c r="F34" s="241" t="str">
        <f>IF(F7="Yes","Exceptional Circumstances",IF(F25="Yes",IF(F69=1,"CL escape clause emerged","CL escape clauses emerged"),""))</f>
        <v>Exceptional Circumstances</v>
      </c>
      <c r="G34" s="242" t="str">
        <f>IF(F7="Yes","Exceptional Circumstances",IF(G25="Yes",IF(G69=1,"CL escape clause emerged","CL escape clauses emerged"),""))</f>
        <v>Exceptional Circumstances</v>
      </c>
    </row>
    <row r="35" spans="2:8" ht="28.5" customHeight="1" thickTop="1">
      <c r="B35" s="56"/>
      <c r="C35" s="407" t="s">
        <v>208</v>
      </c>
      <c r="D35" s="407"/>
      <c r="E35" s="407"/>
      <c r="F35" s="243"/>
      <c r="G35" s="243"/>
    </row>
    <row r="36" spans="2:8" ht="28.5" customHeight="1">
      <c r="B36" s="56"/>
      <c r="C36" s="423" t="s">
        <v>266</v>
      </c>
      <c r="D36" s="423"/>
      <c r="E36" s="423"/>
      <c r="F36" s="243"/>
      <c r="G36" s="243"/>
    </row>
    <row r="37" spans="2:8" ht="18.75" customHeight="1" thickBot="1">
      <c r="B37" s="56"/>
      <c r="C37" s="225" t="s">
        <v>209</v>
      </c>
      <c r="D37" s="244"/>
      <c r="E37" s="244"/>
      <c r="F37" s="243"/>
      <c r="G37" s="243"/>
    </row>
    <row r="38" spans="2:8" ht="15" customHeight="1" thickBot="1">
      <c r="B38" s="56"/>
      <c r="C38" s="228" t="s">
        <v>210</v>
      </c>
      <c r="D38" s="243"/>
      <c r="E38" s="19"/>
      <c r="F38" s="425">
        <f>metai</f>
        <v>2023</v>
      </c>
      <c r="G38" s="425"/>
    </row>
    <row r="39" spans="2:8" ht="15" thickBot="1">
      <c r="B39" s="56"/>
      <c r="C39" s="245"/>
      <c r="D39" s="243"/>
      <c r="E39" s="229" t="s">
        <v>211</v>
      </c>
      <c r="F39" s="246">
        <f>'3. GGbudget'!F21</f>
        <v>23836.776711332634</v>
      </c>
      <c r="G39" s="247">
        <f>'3. GGbudget'!H21</f>
        <v>23836.776711332634</v>
      </c>
      <c r="H39" s="310"/>
    </row>
    <row r="40" spans="2:8" ht="15" customHeight="1" thickBot="1">
      <c r="B40" s="56"/>
      <c r="C40" s="243"/>
      <c r="D40" s="243"/>
      <c r="E40" s="229" t="s">
        <v>212</v>
      </c>
      <c r="F40" s="246">
        <f>'3. GGbudget'!E21</f>
        <v>22150.79438431</v>
      </c>
      <c r="G40" s="247">
        <f>'3. GGbudget'!G21</f>
        <v>22150.79438431</v>
      </c>
      <c r="H40" s="310"/>
    </row>
    <row r="41" spans="2:8" ht="14.4" thickBot="1">
      <c r="B41" s="56"/>
      <c r="C41" s="243"/>
      <c r="D41" s="243"/>
      <c r="E41" s="229" t="s">
        <v>213</v>
      </c>
      <c r="F41" s="427">
        <v>2404.3131020000001</v>
      </c>
      <c r="G41" s="427"/>
      <c r="H41" s="37"/>
    </row>
    <row r="42" spans="2:8" ht="14.4" thickBot="1">
      <c r="B42" s="56"/>
      <c r="C42" s="243"/>
      <c r="D42" s="243"/>
      <c r="E42" s="229" t="s">
        <v>214</v>
      </c>
      <c r="F42" s="428">
        <v>2234.4625996799996</v>
      </c>
      <c r="G42" s="429"/>
      <c r="H42" s="37"/>
    </row>
    <row r="43" spans="2:8" ht="14.4" thickBot="1">
      <c r="B43" s="56"/>
      <c r="C43" s="226"/>
      <c r="D43" s="248"/>
      <c r="E43" s="229" t="s">
        <v>215</v>
      </c>
      <c r="F43" s="249">
        <f>'3. GGbudget'!F15</f>
        <v>27498.473999999998</v>
      </c>
      <c r="G43" s="247">
        <f>'3. GGbudget'!H15</f>
        <v>27498.473999999998</v>
      </c>
      <c r="H43" s="37"/>
    </row>
    <row r="44" spans="2:8" ht="14.4" thickBot="1">
      <c r="B44" s="56"/>
      <c r="C44" s="226"/>
      <c r="D44" s="248"/>
      <c r="E44" s="229" t="s">
        <v>216</v>
      </c>
      <c r="F44" s="249">
        <f>'3. GGbudget'!E15</f>
        <v>24467.922999999999</v>
      </c>
      <c r="G44" s="247">
        <f>'3. GGbudget'!G15</f>
        <v>24467.922999999999</v>
      </c>
      <c r="H44" s="37"/>
    </row>
    <row r="45" spans="2:8" ht="14.4" thickBot="1">
      <c r="B45" s="56"/>
      <c r="C45" s="226"/>
      <c r="D45" s="248"/>
      <c r="E45" s="229" t="s">
        <v>217</v>
      </c>
      <c r="F45" s="246">
        <f>'2. Macro'!L36-'2. Macro'!K36</f>
        <v>0.55793052889081862</v>
      </c>
      <c r="G45" s="250">
        <f>'2. Macro'!L35-'2. Macro'!K35</f>
        <v>0.55793052889081862</v>
      </c>
    </row>
    <row r="46" spans="2:8" ht="14.4" thickBot="1">
      <c r="B46" s="56"/>
      <c r="C46" s="251"/>
      <c r="D46" s="248"/>
      <c r="E46" s="229" t="s">
        <v>218</v>
      </c>
      <c r="F46" s="246">
        <f>('2. Macro'!K36-'2. Macro'!J36)-('2. Macro'!J36-'2. Macro'!I36)</f>
        <v>12.319170581436531</v>
      </c>
      <c r="G46" s="250">
        <f>('2. Macro'!K35-'2. Macro'!J35)-('2. Macro'!J35-'2. Macro'!I35)</f>
        <v>12.319170581436531</v>
      </c>
      <c r="H46" s="37"/>
    </row>
    <row r="47" spans="2:8" ht="14.4" thickBot="1">
      <c r="B47" s="56"/>
      <c r="C47" s="252" t="s">
        <v>331</v>
      </c>
      <c r="D47" s="248"/>
      <c r="E47" s="252" t="s">
        <v>219</v>
      </c>
      <c r="F47" s="426">
        <v>1.073</v>
      </c>
      <c r="G47" s="426"/>
      <c r="H47" s="37"/>
    </row>
    <row r="48" spans="2:8" ht="15" customHeight="1" thickBot="1">
      <c r="B48" s="56"/>
      <c r="C48" s="252" t="s">
        <v>332</v>
      </c>
      <c r="D48" s="248"/>
      <c r="E48" s="252" t="s">
        <v>220</v>
      </c>
      <c r="F48" s="426">
        <v>1.0740000000000001</v>
      </c>
      <c r="G48" s="426"/>
      <c r="H48" s="37"/>
    </row>
    <row r="49" spans="2:9" ht="15" customHeight="1" thickBot="1">
      <c r="B49" s="56"/>
      <c r="C49" s="252" t="s">
        <v>333</v>
      </c>
      <c r="D49" s="248"/>
      <c r="E49" s="252" t="s">
        <v>221</v>
      </c>
      <c r="F49" s="426">
        <v>1.103931685634679</v>
      </c>
      <c r="G49" s="426"/>
      <c r="H49" s="37"/>
    </row>
    <row r="50" spans="2:9" ht="15" customHeight="1" thickBot="1">
      <c r="B50" s="56"/>
      <c r="C50" s="252" t="s">
        <v>334</v>
      </c>
      <c r="D50" s="248"/>
      <c r="E50" s="252" t="s">
        <v>222</v>
      </c>
      <c r="F50" s="426">
        <v>1.0890587317204028</v>
      </c>
      <c r="G50" s="426"/>
      <c r="H50" s="37"/>
    </row>
    <row r="51" spans="2:9" ht="15" customHeight="1" thickBot="1">
      <c r="B51" s="56"/>
      <c r="C51" s="253" t="s">
        <v>335</v>
      </c>
      <c r="D51" s="248"/>
      <c r="E51" s="252" t="s">
        <v>223</v>
      </c>
      <c r="F51" s="246">
        <v>6.7</v>
      </c>
      <c r="G51" s="246">
        <v>6.7</v>
      </c>
      <c r="H51" s="37"/>
    </row>
    <row r="52" spans="2:9" ht="15" customHeight="1" thickBot="1">
      <c r="B52" s="56"/>
      <c r="C52" s="19"/>
      <c r="D52" s="248"/>
      <c r="E52" s="229" t="s">
        <v>224</v>
      </c>
      <c r="F52" s="246">
        <f>'2. Macro'!M20</f>
        <v>-1.9752703652941794</v>
      </c>
      <c r="G52" s="250">
        <f>'2. Macro'!M19</f>
        <v>-1.768337380879581</v>
      </c>
    </row>
    <row r="53" spans="2:9" ht="15" customHeight="1" thickBot="1">
      <c r="B53" s="56"/>
      <c r="C53" s="19"/>
      <c r="D53" s="229"/>
      <c r="E53" s="229" t="s">
        <v>225</v>
      </c>
      <c r="F53" s="254">
        <f>F39-F41</f>
        <v>21432.463609332633</v>
      </c>
      <c r="G53" s="254">
        <f>+G39-F41</f>
        <v>21432.463609332633</v>
      </c>
      <c r="H53" s="37"/>
      <c r="I53" s="54"/>
    </row>
    <row r="54" spans="2:9" ht="15" customHeight="1" thickBot="1">
      <c r="B54" s="56"/>
      <c r="C54" s="19"/>
      <c r="D54" s="229"/>
      <c r="E54" s="229" t="s">
        <v>226</v>
      </c>
      <c r="F54" s="254">
        <f>F40-F42</f>
        <v>19916.331784630001</v>
      </c>
      <c r="G54" s="254">
        <f>+G40-$F$42</f>
        <v>19916.331784630001</v>
      </c>
      <c r="H54" s="37"/>
      <c r="I54" s="54"/>
    </row>
    <row r="55" spans="2:9" ht="15" customHeight="1" thickBot="1">
      <c r="B55" s="56"/>
      <c r="C55" s="19"/>
      <c r="D55" s="229"/>
      <c r="E55" s="229" t="s">
        <v>227</v>
      </c>
      <c r="F55" s="254">
        <f>+(F53/F54-1)*100</f>
        <v>7.6125053604131798</v>
      </c>
      <c r="G55" s="254">
        <f>+(G53/G54-1)*100</f>
        <v>7.6125053604131798</v>
      </c>
      <c r="H55" s="37"/>
      <c r="I55" s="45"/>
    </row>
    <row r="56" spans="2:9" s="8" customFormat="1" ht="16.8" thickBot="1">
      <c r="B56" s="56"/>
      <c r="C56" s="19"/>
      <c r="D56" s="229"/>
      <c r="E56" s="229" t="s">
        <v>228</v>
      </c>
      <c r="F56" s="254">
        <f>(POWER('2. Macro'!O16/'2. Macro'!E16,0.1)*POWER(PRODUCT(F47:F50),0.25)-1)*100</f>
        <v>11.820123034031393</v>
      </c>
      <c r="G56" s="254">
        <f>(POWER('2. Macro'!O15/'2. Macro'!E15,0.1)*POWER(PRODUCT(F47:F50),0.25)-1)*100</f>
        <v>11.912744037596724</v>
      </c>
      <c r="H56" s="37"/>
      <c r="I56" s="54"/>
    </row>
    <row r="57" spans="2:9" s="8" customFormat="1" ht="14.4" hidden="1" thickBot="1">
      <c r="B57" s="56"/>
      <c r="C57" s="19"/>
      <c r="D57" s="229"/>
      <c r="E57" s="229" t="s">
        <v>268</v>
      </c>
      <c r="F57" s="255"/>
      <c r="G57" s="256"/>
      <c r="H57" s="45"/>
      <c r="I57" s="45"/>
    </row>
    <row r="58" spans="2:9" s="8" customFormat="1" ht="14.4" hidden="1" thickBot="1">
      <c r="B58" s="56"/>
      <c r="C58" s="19"/>
      <c r="D58" s="229"/>
      <c r="E58" s="229" t="s">
        <v>269</v>
      </c>
      <c r="F58" s="257"/>
      <c r="G58" s="258"/>
      <c r="H58" s="45"/>
    </row>
    <row r="59" spans="2:9" s="8" customFormat="1">
      <c r="B59" s="56"/>
      <c r="C59" s="19"/>
      <c r="D59" s="229"/>
      <c r="E59" s="229"/>
      <c r="F59" s="259"/>
      <c r="G59" s="259"/>
    </row>
    <row r="60" spans="2:9" s="8" customFormat="1" ht="15" thickBot="1">
      <c r="B60" s="56"/>
      <c r="C60" s="19"/>
      <c r="D60" s="229"/>
      <c r="E60" s="229" t="s">
        <v>47</v>
      </c>
      <c r="F60" s="229"/>
      <c r="G60" s="260"/>
      <c r="H60" s="44" t="s">
        <v>48</v>
      </c>
    </row>
    <row r="61" spans="2:9" s="8" customFormat="1" ht="15" thickBot="1">
      <c r="B61" s="56"/>
      <c r="C61" s="19"/>
      <c r="D61" s="229"/>
      <c r="E61" s="229" t="s">
        <v>49</v>
      </c>
      <c r="F61" s="375" t="s">
        <v>23</v>
      </c>
      <c r="G61" s="375"/>
      <c r="H61" s="44" t="s">
        <v>50</v>
      </c>
    </row>
    <row r="62" spans="2:9" s="8" customFormat="1" ht="15" thickBot="1">
      <c r="B62" s="56"/>
      <c r="C62" s="19"/>
      <c r="D62" s="229"/>
      <c r="E62" s="229" t="s">
        <v>51</v>
      </c>
      <c r="F62" s="377" t="s">
        <v>24</v>
      </c>
      <c r="G62" s="377"/>
      <c r="H62" s="44" t="s">
        <v>52</v>
      </c>
    </row>
    <row r="63" spans="2:9" s="8" customFormat="1" ht="15" thickBot="1">
      <c r="B63" s="56"/>
      <c r="C63" s="19"/>
      <c r="D63" s="229"/>
      <c r="E63" s="229" t="s">
        <v>229</v>
      </c>
      <c r="F63" s="424" t="s">
        <v>230</v>
      </c>
      <c r="G63" s="424"/>
      <c r="H63" s="44" t="s">
        <v>231</v>
      </c>
    </row>
    <row r="64" spans="2:9" s="8" customFormat="1">
      <c r="B64" s="261"/>
      <c r="C64" s="233"/>
      <c r="D64" s="262" t="s">
        <v>232</v>
      </c>
      <c r="E64" s="262"/>
      <c r="F64" s="263">
        <f>IF(F8="Tiesa",1,0)</f>
        <v>0</v>
      </c>
      <c r="G64" s="263">
        <f>IF(G8="Tiesa",1,0)</f>
        <v>0</v>
      </c>
      <c r="H64" s="42" t="str">
        <f>IF(F64=1,$D64,"")</f>
        <v/>
      </c>
      <c r="I64" s="42" t="str">
        <f>IF(G64=1,$D64,"")</f>
        <v/>
      </c>
    </row>
    <row r="65" spans="2:9">
      <c r="B65" s="261"/>
      <c r="C65" s="233"/>
      <c r="D65" s="262" t="s">
        <v>233</v>
      </c>
      <c r="E65" s="262"/>
      <c r="F65" s="263">
        <f>IF(F11="Tiesa",1,0)</f>
        <v>0</v>
      </c>
      <c r="G65" s="263">
        <f>IF(G11="Tiesa",1,0)</f>
        <v>0</v>
      </c>
      <c r="H65" s="42" t="str">
        <f t="shared" ref="H65:I68" si="2">IF(F65=1,$D65,"")</f>
        <v/>
      </c>
      <c r="I65" s="42" t="str">
        <f>IF(G65=1,$D65,"")</f>
        <v/>
      </c>
    </row>
    <row r="66" spans="2:9">
      <c r="B66" s="56"/>
      <c r="C66" s="264"/>
      <c r="D66" s="262" t="s">
        <v>234</v>
      </c>
      <c r="E66" s="262"/>
      <c r="F66" s="263">
        <f>IF(F14="Tiesa",1,0)</f>
        <v>0</v>
      </c>
      <c r="G66" s="263">
        <f>IF(G14="Tiesa",1,0)</f>
        <v>0</v>
      </c>
      <c r="H66" s="42" t="str">
        <f>IF(F66=1,$D66,"")</f>
        <v/>
      </c>
      <c r="I66" s="42" t="str">
        <f t="shared" si="2"/>
        <v/>
      </c>
    </row>
    <row r="67" spans="2:9">
      <c r="D67" s="42" t="s">
        <v>235</v>
      </c>
      <c r="E67" s="42"/>
      <c r="F67" s="47">
        <f>IF(F17="Tiesa",1,0)</f>
        <v>0</v>
      </c>
      <c r="G67" s="47">
        <f>IF(G17="Tiesa",1,0)</f>
        <v>0</v>
      </c>
      <c r="H67" s="42" t="str">
        <f t="shared" si="2"/>
        <v/>
      </c>
      <c r="I67" s="42" t="str">
        <f t="shared" si="2"/>
        <v/>
      </c>
    </row>
    <row r="68" spans="2:9">
      <c r="D68" s="42" t="s">
        <v>236</v>
      </c>
      <c r="E68" s="42"/>
      <c r="F68" s="47">
        <f>IF(F20="Tiesa",1,0)</f>
        <v>1</v>
      </c>
      <c r="G68" s="47">
        <f>IF(G20="Tiesa",1,0)</f>
        <v>1</v>
      </c>
      <c r="H68" s="42" t="str">
        <f t="shared" si="2"/>
        <v>A5</v>
      </c>
      <c r="I68" s="42" t="str">
        <f>IF(G68=1,$D68,"")</f>
        <v>A5</v>
      </c>
    </row>
    <row r="69" spans="2:9">
      <c r="D69" s="42"/>
      <c r="E69" s="42"/>
      <c r="F69" s="47">
        <f>SUM(F64:F68)</f>
        <v>1</v>
      </c>
      <c r="G69" s="47">
        <f>SUM(G64:G68)</f>
        <v>1</v>
      </c>
      <c r="H69" s="42"/>
      <c r="I69" s="42"/>
    </row>
    <row r="70" spans="2:9">
      <c r="D70" s="42"/>
      <c r="E70" s="42"/>
      <c r="F70" s="42"/>
      <c r="G70" s="42"/>
      <c r="H70" s="42"/>
      <c r="I70" s="42"/>
    </row>
  </sheetData>
  <mergeCells count="45">
    <mergeCell ref="B6:B7"/>
    <mergeCell ref="D6:E7"/>
    <mergeCell ref="F6:G6"/>
    <mergeCell ref="F7:G7"/>
    <mergeCell ref="B17:B19"/>
    <mergeCell ref="D17:E19"/>
    <mergeCell ref="C20:C21"/>
    <mergeCell ref="D20:E22"/>
    <mergeCell ref="B20:B22"/>
    <mergeCell ref="C17:C18"/>
    <mergeCell ref="F27:G27"/>
    <mergeCell ref="D27:E27"/>
    <mergeCell ref="C28:C32"/>
    <mergeCell ref="B23:B26"/>
    <mergeCell ref="D23:E26"/>
    <mergeCell ref="C23:C24"/>
    <mergeCell ref="C25:C26"/>
    <mergeCell ref="B28:B34"/>
    <mergeCell ref="C33:C34"/>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F61:G61"/>
    <mergeCell ref="F62:G62"/>
    <mergeCell ref="F63:G63"/>
    <mergeCell ref="F38:G38"/>
    <mergeCell ref="F48:G48"/>
    <mergeCell ref="F49:G49"/>
    <mergeCell ref="F50:G50"/>
    <mergeCell ref="F47:G47"/>
    <mergeCell ref="F41:G41"/>
    <mergeCell ref="F42:G42"/>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42"/>
  <sheetViews>
    <sheetView showGridLines="0" showRowColHeaders="0" zoomScaleNormal="100" workbookViewId="0">
      <selection activeCell="F8" sqref="F8"/>
    </sheetView>
  </sheetViews>
  <sheetFormatPr defaultColWidth="10" defaultRowHeight="13.8"/>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c r="B1" s="430" t="s">
        <v>19</v>
      </c>
      <c r="C1" s="430"/>
      <c r="D1" s="2"/>
    </row>
    <row r="2" spans="1:8" ht="14.4" thickBot="1">
      <c r="A2" s="8" t="s">
        <v>20</v>
      </c>
    </row>
    <row r="3" spans="1:8" ht="38.25" customHeight="1" thickTop="1" thickBot="1">
      <c r="B3" s="398" t="s">
        <v>275</v>
      </c>
      <c r="C3" s="399"/>
      <c r="D3" s="399"/>
      <c r="E3" s="399"/>
      <c r="F3" s="400"/>
    </row>
    <row r="4" spans="1:8" ht="28.8" thickBot="1">
      <c r="B4" s="190" t="s">
        <v>287</v>
      </c>
      <c r="C4" s="191" t="s">
        <v>288</v>
      </c>
      <c r="D4" s="191" t="s">
        <v>289</v>
      </c>
      <c r="E4" s="490" t="s">
        <v>290</v>
      </c>
      <c r="F4" s="491"/>
    </row>
    <row r="5" spans="1:8" ht="30" customHeight="1" thickBot="1">
      <c r="B5" s="403" t="s">
        <v>156</v>
      </c>
      <c r="C5" s="404"/>
      <c r="D5" s="404"/>
      <c r="E5" s="158" t="s">
        <v>23</v>
      </c>
      <c r="F5" s="151" t="s">
        <v>24</v>
      </c>
    </row>
    <row r="6" spans="1:8" ht="104.25" customHeight="1">
      <c r="B6" s="104" t="s">
        <v>283</v>
      </c>
      <c r="C6" s="265" t="s">
        <v>237</v>
      </c>
      <c r="D6" s="478" t="s">
        <v>238</v>
      </c>
      <c r="E6" s="112" t="s">
        <v>338</v>
      </c>
      <c r="F6" s="133" t="str">
        <f>E6</f>
        <v>Savivaldybių biudžetų atitiktis fiskalinės drausmės taisyklėms bus vertinama 2024 m. birželio mėn.</v>
      </c>
    </row>
    <row r="7" spans="1:8" ht="61.5" customHeight="1" thickBot="1">
      <c r="B7" s="104"/>
      <c r="C7" s="101" t="s">
        <v>239</v>
      </c>
      <c r="D7" s="480"/>
      <c r="E7" s="113" t="s">
        <v>339</v>
      </c>
      <c r="F7" s="132" t="s">
        <v>339</v>
      </c>
      <c r="H7" s="23"/>
    </row>
    <row r="8" spans="1:8" ht="34.5" customHeight="1" thickBot="1">
      <c r="B8" s="105"/>
      <c r="C8" s="481" t="s">
        <v>282</v>
      </c>
      <c r="D8" s="481"/>
      <c r="E8" s="159"/>
      <c r="F8" s="152"/>
    </row>
    <row r="9" spans="1:8" ht="29.25" customHeight="1">
      <c r="A9" s="62"/>
      <c r="B9" s="382" t="s">
        <v>284</v>
      </c>
      <c r="C9" s="462" t="s">
        <v>259</v>
      </c>
      <c r="D9" s="478" t="s">
        <v>240</v>
      </c>
      <c r="E9" s="160" t="str">
        <f>IF(E32&gt;=0,"Tiesa","Netiesa")</f>
        <v>Tiesa</v>
      </c>
      <c r="F9" s="138" t="str">
        <f>IF(F32+eps&gt;=0,"Tiesa","Netiesa")</f>
        <v>Tiesa</v>
      </c>
    </row>
    <row r="10" spans="1:8" ht="29.25" customHeight="1">
      <c r="A10" s="62"/>
      <c r="B10" s="382"/>
      <c r="C10" s="463"/>
      <c r="D10" s="479"/>
      <c r="E10" s="114" t="str">
        <f>CONCATENATE(FIXED(E32,1),IF(E32&gt;= 0," ≥ "," &lt; "),FIXED(0,1))</f>
        <v>0,3 ≥ 0,0</v>
      </c>
      <c r="F10" s="153" t="str">
        <f>CONCATENATE(FIXED(F32,1),IF(F32=eps&gt;= 0," ≥ "," &lt; "),FIXED(0,1))</f>
        <v>0,3 ≥ 0,0</v>
      </c>
    </row>
    <row r="11" spans="1:8" ht="35.25" customHeight="1" thickBot="1">
      <c r="A11" s="62"/>
      <c r="B11" s="382"/>
      <c r="C11" s="103" t="s">
        <v>241</v>
      </c>
      <c r="D11" s="480"/>
      <c r="E11" s="113" t="str">
        <f>IF(E9="Tiesa","True","False")</f>
        <v>True</v>
      </c>
      <c r="F11" s="140" t="str">
        <f>IF(F9="Tiesa","True","False")</f>
        <v>True</v>
      </c>
    </row>
    <row r="12" spans="1:8" ht="21.75" customHeight="1">
      <c r="A12" s="62"/>
      <c r="B12" s="382"/>
      <c r="C12" s="482" t="s">
        <v>242</v>
      </c>
      <c r="D12" s="483"/>
      <c r="E12" s="161" t="str">
        <f>IF(E9="Netiesa","Netenkinama","Tenkinama")</f>
        <v>Tenkinama</v>
      </c>
      <c r="F12" s="154" t="str">
        <f>IF(F9="Netiesa","Netenkinama","Tenkinama")</f>
        <v>Tenkinama</v>
      </c>
    </row>
    <row r="13" spans="1:8" ht="21.75" customHeight="1" thickBot="1">
      <c r="A13" s="62"/>
      <c r="B13" s="389"/>
      <c r="C13" s="464" t="s">
        <v>243</v>
      </c>
      <c r="D13" s="465"/>
      <c r="E13" s="162" t="str">
        <f>IF(E12="Tenkinama","Valid","Invalid ")</f>
        <v>Valid</v>
      </c>
      <c r="F13" s="155" t="str">
        <f>IF(F12="Tenkinama","Valid","Invalid ")</f>
        <v>Valid</v>
      </c>
    </row>
    <row r="14" spans="1:8" ht="17.399999999999999" customHeight="1">
      <c r="A14" s="62"/>
      <c r="B14" s="382" t="s">
        <v>285</v>
      </c>
      <c r="C14" s="466" t="s">
        <v>244</v>
      </c>
      <c r="D14" s="412" t="s">
        <v>245</v>
      </c>
      <c r="E14" s="160" t="str">
        <f>IF(E29+eps&lt;0, "Tiesa","Netiesa")</f>
        <v>Tiesa</v>
      </c>
      <c r="F14" s="138" t="str">
        <f>IF(F29+eps&lt;0,"Tiesa","Netiesa")</f>
        <v>Tiesa</v>
      </c>
    </row>
    <row r="15" spans="1:8" ht="38.25" customHeight="1">
      <c r="A15" s="62"/>
      <c r="B15" s="382"/>
      <c r="C15" s="467"/>
      <c r="D15" s="468"/>
      <c r="E15" s="163" t="str">
        <f>CONCATENATE(FIXED(E29,1),IF(E29+eps&lt;0," &lt; "," ≥ "),FIXED(0,1))</f>
        <v>-2,0 &lt; 0,0</v>
      </c>
      <c r="F15" s="139" t="str">
        <f>CONCATENATE(FIXED(F29,1),IF(F29+eps&lt;0," &lt; "," ≥ "),FIXED(0,1))</f>
        <v>-1,8 &lt; 0,0</v>
      </c>
    </row>
    <row r="16" spans="1:8" ht="21" customHeight="1" thickBot="1">
      <c r="A16" s="62"/>
      <c r="B16" s="382"/>
      <c r="C16" s="467"/>
      <c r="D16" s="468"/>
      <c r="E16" s="164" t="str">
        <f>IF(E14="Tiesa","True","False")</f>
        <v>True</v>
      </c>
      <c r="F16" s="156" t="str">
        <f>IF(F14="Tiesa","True","False")</f>
        <v>True</v>
      </c>
    </row>
    <row r="17" spans="1:8" ht="18.75" customHeight="1">
      <c r="A17" s="62"/>
      <c r="B17" s="382"/>
      <c r="C17" s="471" t="s">
        <v>246</v>
      </c>
      <c r="D17" s="468" t="s">
        <v>247</v>
      </c>
      <c r="E17" s="165" t="str">
        <f>IF(OR((E29&gt;=0)*(E30&gt;=0),(E29&gt;=0)*(E30&gt;=E31)),"Tiesa","Netiesa")</f>
        <v>Netiesa</v>
      </c>
      <c r="F17" s="138" t="str">
        <f>IF(OR((F29&gt;=0)*(F30&gt;=0),(F29&gt;=0)*(F30&gt;=F31)),"Tiesa","Netiesa")</f>
        <v>Netiesa</v>
      </c>
    </row>
    <row r="18" spans="1:8" ht="47.25" customHeight="1">
      <c r="A18" s="62"/>
      <c r="B18" s="382"/>
      <c r="C18" s="471"/>
      <c r="D18" s="468"/>
      <c r="E18" s="114" t="str">
        <f>CONCATENATE(FIXED(E29,1),,IF(E29&lt;0," &lt; "," ≥ "),FIXED(0,1), " &amp;
","(",
 FIXED(E30,1),IF(E30&gt;=E31," ≥ "," &lt; "), FIXED(E31,1), " arba / or ",FIXED(E30,1),IF(E30&lt;0," &lt; "," ≥ "),FIXED(0,1),")")</f>
        <v>-2,0 &lt; 0,0 &amp;
(1,3 ≥ 0,9 arba / or 1,3 ≥ 0,0)</v>
      </c>
      <c r="F18" s="139" t="str">
        <f>CONCATENATE(FIXED(F29,1),,IF(F29&lt;0," &lt; "," ≥ "),FIXED(0,1), " &amp;
","(", FIXED(F30,1),IF(F30&gt;=F31," ≥ "," &lt; "), FIXED(F31,1), " arba / or ",FIXED(F30,1),IF(F30&lt;0," &lt; "," ≥ "),FIXED(0,1),")")</f>
        <v>-1,8 &lt; 0,0 &amp;
(1,3 ≥ 0,9 arba / or 1,3 ≥ 0,0)</v>
      </c>
    </row>
    <row r="19" spans="1:8" ht="18" customHeight="1" thickBot="1">
      <c r="A19" s="62"/>
      <c r="B19" s="382"/>
      <c r="C19" s="472"/>
      <c r="D19" s="473"/>
      <c r="E19" s="113" t="str">
        <f>IF(E17="Tiesa","True","False")</f>
        <v>False</v>
      </c>
      <c r="F19" s="132" t="str">
        <f>IF(F17="Tiesa","True","False")</f>
        <v>False</v>
      </c>
    </row>
    <row r="20" spans="1:8" ht="21" customHeight="1">
      <c r="A20" s="62"/>
      <c r="B20" s="382"/>
      <c r="C20" s="484" t="s">
        <v>43</v>
      </c>
      <c r="D20" s="485"/>
      <c r="E20" s="161" t="str">
        <f>IF(OR(E14="Tiesa",E17="Tiesa"),"Tenkinama","Netenkinama")</f>
        <v>Tenkinama</v>
      </c>
      <c r="F20" s="154" t="str">
        <f>IF(OR(F14="Tiesa",F17="Tiesa"),"Tenkinama","Netenkinama")</f>
        <v>Tenkinama</v>
      </c>
    </row>
    <row r="21" spans="1:8" ht="21" customHeight="1" thickBot="1">
      <c r="A21" s="62"/>
      <c r="B21" s="389"/>
      <c r="C21" s="469" t="s">
        <v>248</v>
      </c>
      <c r="D21" s="470"/>
      <c r="E21" s="162" t="str">
        <f>IF(E20="Tenkinama","Valid","Invalid ")</f>
        <v>Valid</v>
      </c>
      <c r="F21" s="155" t="str">
        <f>IF(F20="Tenkinama","Valid","Invalid ")</f>
        <v>Valid</v>
      </c>
    </row>
    <row r="22" spans="1:8" ht="101.25" customHeight="1" thickBot="1">
      <c r="A22" s="62"/>
      <c r="B22" s="456" t="s">
        <v>286</v>
      </c>
      <c r="C22" s="266" t="s">
        <v>249</v>
      </c>
      <c r="D22" s="102" t="s">
        <v>250</v>
      </c>
      <c r="E22" s="112" t="str">
        <f>E6</f>
        <v>Savivaldybių biudžetų atitiktis fiskalinės drausmės taisyklėms bus vertinama 2024 m. birželio mėn.</v>
      </c>
      <c r="F22" s="133" t="str">
        <f>E22</f>
        <v>Savivaldybių biudžetų atitiktis fiskalinės drausmės taisyklėms bus vertinama 2024 m. birželio mėn.</v>
      </c>
    </row>
    <row r="23" spans="1:8" ht="64.5" customHeight="1" thickBot="1">
      <c r="A23" s="62"/>
      <c r="B23" s="457"/>
      <c r="C23" s="476" t="s">
        <v>251</v>
      </c>
      <c r="D23" s="468" t="s">
        <v>252</v>
      </c>
      <c r="E23" s="488" t="str">
        <f>E7</f>
        <v>Will be assessed in June 2024</v>
      </c>
      <c r="F23" s="486" t="str">
        <f>F7</f>
        <v>Will be assessed in June 2024</v>
      </c>
    </row>
    <row r="24" spans="1:8" ht="42" customHeight="1" thickBot="1">
      <c r="A24" s="62"/>
      <c r="B24" s="457"/>
      <c r="C24" s="477"/>
      <c r="D24" s="473"/>
      <c r="E24" s="489"/>
      <c r="F24" s="487"/>
    </row>
    <row r="25" spans="1:8" ht="19.5" customHeight="1" thickBot="1">
      <c r="A25" s="62"/>
      <c r="B25" s="458"/>
      <c r="C25" s="474" t="s">
        <v>45</v>
      </c>
      <c r="D25" s="475"/>
      <c r="E25" s="166"/>
      <c r="F25" s="133"/>
    </row>
    <row r="26" spans="1:8" ht="19.5" customHeight="1" thickBot="1">
      <c r="A26" s="62"/>
      <c r="B26" s="459"/>
      <c r="C26" s="460" t="s">
        <v>46</v>
      </c>
      <c r="D26" s="461"/>
      <c r="E26" s="167"/>
      <c r="F26" s="157"/>
    </row>
    <row r="27" spans="1:8" ht="15" thickTop="1" thickBot="1">
      <c r="B27" s="19"/>
      <c r="C27" s="225" t="s">
        <v>253</v>
      </c>
      <c r="D27" s="267"/>
      <c r="E27" s="267"/>
      <c r="F27" s="267"/>
      <c r="H27" s="27"/>
    </row>
    <row r="28" spans="1:8" ht="14.4" thickBot="1">
      <c r="B28" s="19"/>
      <c r="C28" s="228" t="s">
        <v>254</v>
      </c>
      <c r="D28" s="229" t="s">
        <v>176</v>
      </c>
      <c r="E28" s="408">
        <f>metai</f>
        <v>2023</v>
      </c>
      <c r="F28" s="409"/>
      <c r="H28" s="27"/>
    </row>
    <row r="29" spans="1:8" ht="14.4" thickBot="1">
      <c r="B29" s="19"/>
      <c r="C29" s="19"/>
      <c r="D29" s="229" t="s">
        <v>180</v>
      </c>
      <c r="E29" s="268">
        <f>'2. Macro'!M20</f>
        <v>-1.9752703652941794</v>
      </c>
      <c r="F29" s="250">
        <f>'2. Macro'!M19</f>
        <v>-1.768337380879581</v>
      </c>
      <c r="H29" s="27"/>
    </row>
    <row r="30" spans="1:8" ht="16.8" thickBot="1">
      <c r="B30" s="19"/>
      <c r="C30" s="19"/>
      <c r="D30" s="229" t="s">
        <v>255</v>
      </c>
      <c r="E30" s="268">
        <f>'3. GGbudget'!F31</f>
        <v>1.308638494661962</v>
      </c>
      <c r="F30" s="250">
        <f>'3. GGbudget'!H31</f>
        <v>1.289600660095819</v>
      </c>
      <c r="H30" s="27"/>
    </row>
    <row r="31" spans="1:8" ht="16.8" thickBot="1">
      <c r="B31" s="19"/>
      <c r="C31" s="19"/>
      <c r="D31" s="229" t="s">
        <v>256</v>
      </c>
      <c r="E31" s="268">
        <f>'3. GGbudget'!E31</f>
        <v>0.92660662797723359</v>
      </c>
      <c r="F31" s="250">
        <f>'3. GGbudget'!G31</f>
        <v>0.89328930949906904</v>
      </c>
      <c r="G31" s="13"/>
      <c r="H31" s="27"/>
    </row>
    <row r="32" spans="1:8" ht="16.8" thickBot="1">
      <c r="B32" s="19"/>
      <c r="C32" s="19"/>
      <c r="D32" s="229" t="s">
        <v>257</v>
      </c>
      <c r="E32" s="268">
        <f>'3. GGbudget'!F32</f>
        <v>0.27355568833959831</v>
      </c>
      <c r="F32" s="250">
        <f>'3. GGbudget'!H32</f>
        <v>0.26382983807211219</v>
      </c>
      <c r="H32" s="6"/>
    </row>
    <row r="33" spans="2:8" ht="15" thickBot="1">
      <c r="B33" s="19"/>
      <c r="C33" s="19"/>
      <c r="D33" s="229" t="s">
        <v>47</v>
      </c>
      <c r="E33" s="229"/>
      <c r="F33" s="260"/>
      <c r="G33" s="38" t="s">
        <v>258</v>
      </c>
      <c r="H33" s="6"/>
    </row>
    <row r="34" spans="2:8" ht="15" thickBot="1">
      <c r="B34" s="19"/>
      <c r="C34" s="19"/>
      <c r="D34" s="229" t="s">
        <v>49</v>
      </c>
      <c r="E34" s="375" t="s">
        <v>23</v>
      </c>
      <c r="F34" s="375"/>
      <c r="G34" s="38" t="s">
        <v>50</v>
      </c>
      <c r="H34" s="6"/>
    </row>
    <row r="35" spans="2:8" ht="15" thickBot="1">
      <c r="B35" s="19"/>
      <c r="C35" s="19"/>
      <c r="D35" s="229" t="s">
        <v>51</v>
      </c>
      <c r="E35" s="377" t="s">
        <v>24</v>
      </c>
      <c r="F35" s="377"/>
      <c r="G35" s="38" t="s">
        <v>52</v>
      </c>
    </row>
    <row r="36" spans="2:8">
      <c r="B36" s="19"/>
      <c r="C36" s="19"/>
      <c r="D36" s="19"/>
      <c r="E36" s="229"/>
      <c r="F36" s="19"/>
    </row>
    <row r="37" spans="2:8">
      <c r="B37" s="19"/>
      <c r="C37" s="19"/>
      <c r="D37" s="19"/>
      <c r="E37" s="229"/>
      <c r="F37" s="56"/>
    </row>
    <row r="38" spans="2:8">
      <c r="B38" s="19"/>
      <c r="C38" s="19"/>
      <c r="D38" s="19"/>
      <c r="E38" s="229"/>
      <c r="F38" s="56"/>
    </row>
    <row r="39" spans="2:8">
      <c r="B39" s="19"/>
      <c r="C39" s="19"/>
      <c r="D39" s="19"/>
      <c r="E39" s="19"/>
      <c r="F39" s="19"/>
    </row>
    <row r="40" spans="2:8">
      <c r="B40" s="19"/>
      <c r="C40" s="19"/>
      <c r="D40" s="19"/>
      <c r="E40" s="19"/>
      <c r="F40" s="19"/>
    </row>
    <row r="41" spans="2:8">
      <c r="B41" s="19"/>
      <c r="C41" s="19"/>
      <c r="D41" s="19"/>
      <c r="E41" s="19"/>
      <c r="F41" s="19"/>
    </row>
    <row r="42" spans="2:8">
      <c r="B42" s="19"/>
      <c r="C42" s="19"/>
      <c r="D42" s="19"/>
      <c r="E42" s="19"/>
      <c r="F42" s="19"/>
    </row>
  </sheetData>
  <mergeCells count="28">
    <mergeCell ref="D6:D7"/>
    <mergeCell ref="B1:C1"/>
    <mergeCell ref="B3:F3"/>
    <mergeCell ref="E4:F4"/>
    <mergeCell ref="B5:D5"/>
    <mergeCell ref="E35:F35"/>
    <mergeCell ref="D9:D11"/>
    <mergeCell ref="C8:D8"/>
    <mergeCell ref="C12:D12"/>
    <mergeCell ref="C20:D20"/>
    <mergeCell ref="E34:F34"/>
    <mergeCell ref="E28:F28"/>
    <mergeCell ref="F23:F24"/>
    <mergeCell ref="E23:E24"/>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749F2-2640-4841-B990-C8D8EE8429C4}">
  <sheetPr>
    <tabColor theme="1" tint="0.499984740745262"/>
  </sheetPr>
  <dimension ref="A1:AD39"/>
  <sheetViews>
    <sheetView showGridLines="0" showRowColHeaders="0" zoomScaleNormal="100" workbookViewId="0"/>
  </sheetViews>
  <sheetFormatPr defaultColWidth="10" defaultRowHeight="13.8"/>
  <cols>
    <col min="1" max="1" width="3.6640625" style="1" customWidth="1"/>
    <col min="2" max="2" width="58" style="1" customWidth="1"/>
    <col min="3" max="4" width="10.5546875" style="1" customWidth="1"/>
    <col min="5" max="21" width="10.88671875" style="1" customWidth="1"/>
    <col min="22" max="24" width="11.6640625" style="1" customWidth="1"/>
    <col min="25" max="25" width="12.44140625" style="1" customWidth="1"/>
    <col min="26" max="16384" width="10" style="1"/>
  </cols>
  <sheetData>
    <row r="1" spans="1:30">
      <c r="A1" s="232"/>
      <c r="B1" s="397" t="s">
        <v>19</v>
      </c>
      <c r="C1" s="397"/>
      <c r="D1" s="271"/>
      <c r="E1" s="271"/>
      <c r="F1" s="271"/>
      <c r="G1" s="271"/>
      <c r="H1" s="271"/>
      <c r="I1" s="271"/>
      <c r="J1" s="271"/>
      <c r="K1" s="271"/>
      <c r="L1" s="271"/>
      <c r="M1" s="271"/>
      <c r="N1" s="271"/>
      <c r="O1" s="271"/>
      <c r="P1" s="271"/>
      <c r="Q1" s="271"/>
      <c r="R1" s="271"/>
      <c r="S1" s="271"/>
      <c r="T1" s="271"/>
      <c r="U1" s="271"/>
      <c r="V1" s="271"/>
      <c r="W1" s="271"/>
      <c r="X1" s="271"/>
      <c r="Y1" s="271"/>
    </row>
    <row r="2" spans="1:30" ht="14.4" thickBot="1">
      <c r="A2" s="233" t="s">
        <v>20</v>
      </c>
      <c r="B2" s="19"/>
      <c r="C2" s="19"/>
      <c r="D2" s="19"/>
      <c r="E2" s="19"/>
      <c r="F2" s="19"/>
      <c r="G2" s="19"/>
      <c r="H2" s="19"/>
      <c r="I2" s="19"/>
      <c r="J2" s="19"/>
      <c r="K2" s="19"/>
      <c r="L2" s="19"/>
      <c r="M2" s="19"/>
      <c r="N2" s="19"/>
      <c r="O2" s="19"/>
      <c r="P2" s="19"/>
      <c r="Q2" s="19"/>
      <c r="R2" s="19"/>
      <c r="S2" s="19"/>
      <c r="T2" s="19"/>
      <c r="U2" s="19"/>
      <c r="V2" s="19"/>
      <c r="W2" s="19"/>
      <c r="X2" s="19"/>
      <c r="Y2" s="19"/>
    </row>
    <row r="3" spans="1:30" ht="49.5" customHeight="1" thickBot="1">
      <c r="A3" s="227"/>
      <c r="B3" s="503" t="s">
        <v>305</v>
      </c>
      <c r="C3" s="504"/>
      <c r="D3" s="504"/>
      <c r="E3" s="504"/>
      <c r="F3" s="504"/>
      <c r="G3" s="504"/>
      <c r="H3" s="504"/>
      <c r="I3" s="504"/>
      <c r="J3" s="504"/>
      <c r="K3" s="504"/>
      <c r="L3" s="504"/>
      <c r="M3" s="504"/>
      <c r="N3" s="504"/>
      <c r="O3" s="504"/>
      <c r="P3" s="504"/>
      <c r="Q3" s="504"/>
      <c r="R3" s="504"/>
      <c r="S3" s="504"/>
      <c r="T3" s="504"/>
      <c r="U3" s="504"/>
      <c r="V3" s="504"/>
      <c r="W3" s="504"/>
      <c r="X3" s="504"/>
      <c r="Y3" s="505"/>
    </row>
    <row r="4" spans="1:30" ht="41.25" customHeight="1" thickBot="1">
      <c r="A4" s="19"/>
      <c r="B4" s="108" t="s">
        <v>306</v>
      </c>
      <c r="C4" s="273"/>
      <c r="D4" s="494">
        <v>2016</v>
      </c>
      <c r="E4" s="496"/>
      <c r="F4" s="494">
        <v>2017</v>
      </c>
      <c r="G4" s="495"/>
      <c r="H4" s="494">
        <v>2018</v>
      </c>
      <c r="I4" s="495"/>
      <c r="J4" s="496"/>
      <c r="K4" s="494">
        <v>2019</v>
      </c>
      <c r="L4" s="495"/>
      <c r="M4" s="496"/>
      <c r="N4" s="494">
        <v>2020</v>
      </c>
      <c r="O4" s="495"/>
      <c r="P4" s="496"/>
      <c r="Q4" s="494">
        <v>2021</v>
      </c>
      <c r="R4" s="495"/>
      <c r="S4" s="496"/>
      <c r="T4" s="494">
        <v>2022</v>
      </c>
      <c r="U4" s="495"/>
      <c r="V4" s="496"/>
      <c r="W4" s="494">
        <v>2023</v>
      </c>
      <c r="X4" s="495"/>
      <c r="Y4" s="496"/>
    </row>
    <row r="5" spans="1:30" ht="61.2" customHeight="1" thickBot="1">
      <c r="A5" s="19"/>
      <c r="B5" s="272"/>
      <c r="C5" s="278" t="s">
        <v>329</v>
      </c>
      <c r="D5" s="274" t="s">
        <v>307</v>
      </c>
      <c r="E5" s="274" t="s">
        <v>309</v>
      </c>
      <c r="F5" s="274" t="s">
        <v>307</v>
      </c>
      <c r="G5" s="274" t="s">
        <v>308</v>
      </c>
      <c r="H5" s="274" t="s">
        <v>307</v>
      </c>
      <c r="I5" s="274" t="s">
        <v>308</v>
      </c>
      <c r="J5" s="274" t="s">
        <v>309</v>
      </c>
      <c r="K5" s="274" t="s">
        <v>307</v>
      </c>
      <c r="L5" s="274" t="s">
        <v>308</v>
      </c>
      <c r="M5" s="274" t="s">
        <v>309</v>
      </c>
      <c r="N5" s="274" t="s">
        <v>307</v>
      </c>
      <c r="O5" s="274" t="s">
        <v>308</v>
      </c>
      <c r="P5" s="274" t="s">
        <v>309</v>
      </c>
      <c r="Q5" s="274" t="s">
        <v>307</v>
      </c>
      <c r="R5" s="274" t="s">
        <v>308</v>
      </c>
      <c r="S5" s="274" t="s">
        <v>309</v>
      </c>
      <c r="T5" s="274" t="s">
        <v>307</v>
      </c>
      <c r="U5" s="274" t="s">
        <v>323</v>
      </c>
      <c r="V5" s="274" t="s">
        <v>324</v>
      </c>
      <c r="W5" s="274" t="s">
        <v>325</v>
      </c>
      <c r="X5" s="274" t="s">
        <v>323</v>
      </c>
      <c r="Y5" s="274" t="s">
        <v>324</v>
      </c>
    </row>
    <row r="6" spans="1:30" ht="25.2" customHeight="1" thickBot="1">
      <c r="A6" s="19"/>
      <c r="B6" s="303" t="s">
        <v>330</v>
      </c>
      <c r="C6" s="302"/>
      <c r="D6" s="311">
        <v>42321</v>
      </c>
      <c r="E6" s="311">
        <v>43054</v>
      </c>
      <c r="F6" s="311">
        <v>42689</v>
      </c>
      <c r="G6" s="311">
        <v>43054</v>
      </c>
      <c r="H6" s="311">
        <v>43054</v>
      </c>
      <c r="I6" s="311">
        <v>43412</v>
      </c>
      <c r="J6" s="311">
        <v>43599</v>
      </c>
      <c r="K6" s="311">
        <v>43412</v>
      </c>
      <c r="L6" s="311">
        <v>43781</v>
      </c>
      <c r="M6" s="311">
        <v>43966</v>
      </c>
      <c r="N6" s="311">
        <v>43781</v>
      </c>
      <c r="O6" s="311">
        <v>44145</v>
      </c>
      <c r="P6" s="311">
        <v>44328</v>
      </c>
      <c r="Q6" s="311">
        <v>44145</v>
      </c>
      <c r="R6" s="311">
        <v>44508</v>
      </c>
      <c r="S6" s="311">
        <v>44686</v>
      </c>
      <c r="T6" s="312">
        <v>44686</v>
      </c>
      <c r="U6" s="312">
        <f>W6</f>
        <v>44862</v>
      </c>
      <c r="V6" s="312">
        <v>45054</v>
      </c>
      <c r="W6" s="313">
        <v>44862</v>
      </c>
      <c r="X6" s="312">
        <v>45257</v>
      </c>
      <c r="Y6" s="312">
        <v>45434</v>
      </c>
      <c r="AB6" s="12"/>
      <c r="AD6" s="12"/>
    </row>
    <row r="7" spans="1:30" ht="14.25" customHeight="1">
      <c r="A7" s="19"/>
      <c r="B7" s="282" t="s">
        <v>157</v>
      </c>
      <c r="C7" s="230"/>
      <c r="D7" s="497" t="str">
        <f>"Ne"</f>
        <v>Ne</v>
      </c>
      <c r="E7" s="498"/>
      <c r="F7" s="497" t="str">
        <f>"Ne"</f>
        <v>Ne</v>
      </c>
      <c r="G7" s="498"/>
      <c r="H7" s="497" t="str">
        <f>"Ne"</f>
        <v>Ne</v>
      </c>
      <c r="I7" s="498"/>
      <c r="J7" s="499"/>
      <c r="K7" s="497" t="str">
        <f>"Ne"</f>
        <v>Ne</v>
      </c>
      <c r="L7" s="498"/>
      <c r="M7" s="499"/>
      <c r="N7" s="497" t="str">
        <f>"Taip"</f>
        <v>Taip</v>
      </c>
      <c r="O7" s="498"/>
      <c r="P7" s="499"/>
      <c r="Q7" s="497" t="str">
        <f>"Taip"</f>
        <v>Taip</v>
      </c>
      <c r="R7" s="498"/>
      <c r="S7" s="499"/>
      <c r="T7" s="497" t="str">
        <f>"Taip"</f>
        <v>Taip</v>
      </c>
      <c r="U7" s="498"/>
      <c r="V7" s="499"/>
      <c r="W7" s="497" t="str">
        <f>"Taip"</f>
        <v>Taip</v>
      </c>
      <c r="X7" s="498"/>
      <c r="Y7" s="499"/>
    </row>
    <row r="8" spans="1:30" ht="14.25" customHeight="1" thickBot="1">
      <c r="A8" s="19"/>
      <c r="B8" s="283" t="s">
        <v>29</v>
      </c>
      <c r="C8" s="231"/>
      <c r="D8" s="492" t="str">
        <f>"No"</f>
        <v>No</v>
      </c>
      <c r="E8" s="493"/>
      <c r="F8" s="492" t="str">
        <f>"No"</f>
        <v>No</v>
      </c>
      <c r="G8" s="493"/>
      <c r="H8" s="492" t="str">
        <f>"No"</f>
        <v>No</v>
      </c>
      <c r="I8" s="493"/>
      <c r="J8" s="500"/>
      <c r="K8" s="492" t="str">
        <f>"No"</f>
        <v>No</v>
      </c>
      <c r="L8" s="493"/>
      <c r="M8" s="500"/>
      <c r="N8" s="492" t="str">
        <f>"Yes"</f>
        <v>Yes</v>
      </c>
      <c r="O8" s="493"/>
      <c r="P8" s="500"/>
      <c r="Q8" s="492" t="str">
        <f>"Yes"</f>
        <v>Yes</v>
      </c>
      <c r="R8" s="493"/>
      <c r="S8" s="500"/>
      <c r="T8" s="492" t="str">
        <f>"Yes"</f>
        <v>Yes</v>
      </c>
      <c r="U8" s="493"/>
      <c r="V8" s="500"/>
      <c r="W8" s="492" t="str">
        <f>"Yes"</f>
        <v>Yes</v>
      </c>
      <c r="X8" s="493"/>
      <c r="Y8" s="500"/>
    </row>
    <row r="9" spans="1:30" ht="14.25" customHeight="1" thickBot="1">
      <c r="A9" s="19"/>
      <c r="B9" s="284" t="s">
        <v>313</v>
      </c>
      <c r="C9" s="276" t="s">
        <v>23</v>
      </c>
      <c r="D9" s="315">
        <v>-0.3</v>
      </c>
      <c r="E9" s="315">
        <v>0.6</v>
      </c>
      <c r="F9" s="315">
        <v>1.4</v>
      </c>
      <c r="G9" s="315">
        <v>1.7</v>
      </c>
      <c r="H9" s="315">
        <v>1.6</v>
      </c>
      <c r="I9" s="315">
        <v>2.4</v>
      </c>
      <c r="J9" s="315">
        <v>2.9</v>
      </c>
      <c r="K9" s="315">
        <v>1.5</v>
      </c>
      <c r="L9" s="315">
        <v>3.5</v>
      </c>
      <c r="M9" s="315">
        <v>4</v>
      </c>
      <c r="N9" s="315">
        <v>2.2000000000000002</v>
      </c>
      <c r="O9" s="315">
        <v>-1.1000000000000001</v>
      </c>
      <c r="P9" s="315">
        <v>-0.6</v>
      </c>
      <c r="Q9" s="315">
        <v>-1.3</v>
      </c>
      <c r="R9" s="315">
        <v>-0.7</v>
      </c>
      <c r="S9" s="315">
        <v>0.4</v>
      </c>
      <c r="T9" s="315">
        <v>-0.7</v>
      </c>
      <c r="U9" s="315">
        <v>-1</v>
      </c>
      <c r="V9" s="315">
        <v>-0.4</v>
      </c>
      <c r="W9" s="315">
        <v>-2.4</v>
      </c>
      <c r="X9" s="315">
        <v>-1.9</v>
      </c>
      <c r="Y9" s="315">
        <v>-2</v>
      </c>
    </row>
    <row r="10" spans="1:30" ht="14.25" customHeight="1" thickBot="1">
      <c r="A10" s="19"/>
      <c r="B10" s="285" t="s">
        <v>314</v>
      </c>
      <c r="C10" s="277" t="s">
        <v>310</v>
      </c>
      <c r="D10" s="316">
        <v>0.9</v>
      </c>
      <c r="E10" s="316">
        <v>0.6</v>
      </c>
      <c r="F10" s="316">
        <v>0.9</v>
      </c>
      <c r="G10" s="316">
        <v>1.6</v>
      </c>
      <c r="H10" s="316">
        <v>2.4</v>
      </c>
      <c r="I10" s="316">
        <v>2.2999999999999998</v>
      </c>
      <c r="J10" s="316">
        <v>1.8</v>
      </c>
      <c r="K10" s="316">
        <v>2.2999999999999998</v>
      </c>
      <c r="L10" s="316">
        <v>3.4</v>
      </c>
      <c r="M10" s="316">
        <v>3.5</v>
      </c>
      <c r="N10" s="316">
        <v>2.7</v>
      </c>
      <c r="O10" s="316">
        <v>-0.6</v>
      </c>
      <c r="P10" s="316">
        <v>-0.35</v>
      </c>
      <c r="Q10" s="316">
        <v>-0.4</v>
      </c>
      <c r="R10" s="316">
        <v>0.3</v>
      </c>
      <c r="S10" s="316">
        <v>2.2000000000000002</v>
      </c>
      <c r="T10" s="316">
        <v>0.7</v>
      </c>
      <c r="U10" s="316">
        <v>0.3</v>
      </c>
      <c r="V10" s="316">
        <v>1.3</v>
      </c>
      <c r="W10" s="316">
        <v>-1.4</v>
      </c>
      <c r="X10" s="316">
        <v>-2.5</v>
      </c>
      <c r="Y10" s="316">
        <v>-1.8</v>
      </c>
      <c r="AB10" s="12"/>
      <c r="AD10" s="12"/>
    </row>
    <row r="11" spans="1:30" ht="19.5" customHeight="1" thickBot="1">
      <c r="A11" s="19"/>
      <c r="B11" s="279" t="s">
        <v>316</v>
      </c>
      <c r="C11" s="276" t="s">
        <v>23</v>
      </c>
      <c r="D11" s="286"/>
      <c r="E11" s="286"/>
      <c r="F11" s="287"/>
      <c r="G11" s="299" t="s">
        <v>327</v>
      </c>
      <c r="H11" s="286"/>
      <c r="I11" s="286"/>
      <c r="J11" s="286"/>
      <c r="K11" s="286"/>
      <c r="L11" s="288"/>
      <c r="M11" s="288"/>
      <c r="N11" s="286"/>
      <c r="O11" s="289"/>
      <c r="P11" s="289"/>
      <c r="Q11" s="289"/>
      <c r="R11" s="289"/>
      <c r="S11" s="289"/>
      <c r="T11" s="289"/>
      <c r="U11" s="289"/>
      <c r="V11" s="289"/>
      <c r="W11" s="289"/>
      <c r="X11" s="289"/>
      <c r="Y11" s="290"/>
    </row>
    <row r="12" spans="1:30" ht="19.5" customHeight="1" thickBot="1">
      <c r="A12" s="19"/>
      <c r="B12" s="280" t="s">
        <v>311</v>
      </c>
      <c r="C12" s="277" t="s">
        <v>310</v>
      </c>
      <c r="D12" s="287"/>
      <c r="E12" s="291"/>
      <c r="F12" s="287"/>
      <c r="G12" s="287"/>
      <c r="H12" s="287"/>
      <c r="I12" s="287"/>
      <c r="J12" s="291"/>
      <c r="K12" s="287"/>
      <c r="L12" s="287"/>
      <c r="M12" s="287"/>
      <c r="N12" s="287"/>
      <c r="O12" s="292"/>
      <c r="P12" s="292"/>
      <c r="Q12" s="292"/>
      <c r="R12" s="292"/>
      <c r="S12" s="292"/>
      <c r="T12" s="292"/>
      <c r="U12" s="292"/>
      <c r="V12" s="292"/>
      <c r="W12" s="292"/>
      <c r="X12" s="292"/>
      <c r="Y12" s="293"/>
      <c r="AA12" s="24"/>
    </row>
    <row r="13" spans="1:30" ht="19.5" customHeight="1" thickBot="1">
      <c r="A13" s="19"/>
      <c r="B13" s="281" t="s">
        <v>315</v>
      </c>
      <c r="C13" s="276" t="s">
        <v>23</v>
      </c>
      <c r="D13" s="292"/>
      <c r="E13" s="299" t="s">
        <v>327</v>
      </c>
      <c r="F13" s="292"/>
      <c r="G13" s="292"/>
      <c r="H13" s="292"/>
      <c r="I13" s="292"/>
      <c r="J13" s="292"/>
      <c r="K13" s="292"/>
      <c r="L13" s="292"/>
      <c r="M13" s="292"/>
      <c r="N13" s="292"/>
      <c r="O13" s="292"/>
      <c r="P13" s="292"/>
      <c r="Q13" s="292"/>
      <c r="R13" s="292"/>
      <c r="S13" s="292"/>
      <c r="T13" s="292"/>
      <c r="U13" s="292"/>
      <c r="V13" s="292"/>
      <c r="W13" s="292"/>
      <c r="X13" s="292"/>
      <c r="Y13" s="293"/>
      <c r="AB13" s="12"/>
    </row>
    <row r="14" spans="1:30" ht="19.5" customHeight="1" thickBot="1">
      <c r="A14" s="19"/>
      <c r="B14" s="280" t="s">
        <v>312</v>
      </c>
      <c r="C14" s="277" t="s">
        <v>310</v>
      </c>
      <c r="D14" s="292"/>
      <c r="E14" s="299" t="s">
        <v>327</v>
      </c>
      <c r="F14" s="292"/>
      <c r="G14" s="299" t="s">
        <v>327</v>
      </c>
      <c r="H14" s="287"/>
      <c r="I14" s="300" t="s">
        <v>327</v>
      </c>
      <c r="J14" s="287"/>
      <c r="K14" s="292"/>
      <c r="L14" s="292"/>
      <c r="M14" s="292"/>
      <c r="N14" s="292"/>
      <c r="O14" s="292"/>
      <c r="P14" s="292"/>
      <c r="Q14" s="292"/>
      <c r="R14" s="292"/>
      <c r="S14" s="292"/>
      <c r="T14" s="292"/>
      <c r="U14" s="292"/>
      <c r="V14" s="292"/>
      <c r="W14" s="292"/>
      <c r="X14" s="292"/>
      <c r="Y14" s="293"/>
      <c r="Z14" s="25"/>
      <c r="AA14" s="26"/>
      <c r="AB14" s="12"/>
      <c r="AC14" s="12"/>
    </row>
    <row r="15" spans="1:30" ht="20.25" customHeight="1" thickBot="1">
      <c r="A15" s="19"/>
      <c r="B15" s="281" t="s">
        <v>242</v>
      </c>
      <c r="C15" s="276" t="s">
        <v>23</v>
      </c>
      <c r="D15" s="292"/>
      <c r="E15" s="292"/>
      <c r="F15" s="292"/>
      <c r="G15" s="292"/>
      <c r="H15" s="292"/>
      <c r="I15" s="292"/>
      <c r="J15" s="291"/>
      <c r="K15" s="291"/>
      <c r="L15" s="291"/>
      <c r="M15" s="287"/>
      <c r="N15" s="291"/>
      <c r="O15" s="287"/>
      <c r="P15" s="291"/>
      <c r="Q15" s="291"/>
      <c r="R15" s="291"/>
      <c r="S15" s="291"/>
      <c r="T15" s="291"/>
      <c r="U15" s="294"/>
      <c r="V15" s="291"/>
      <c r="W15" s="291"/>
      <c r="X15" s="291"/>
      <c r="Y15" s="295"/>
      <c r="AB15" s="12"/>
      <c r="AC15" s="12"/>
    </row>
    <row r="16" spans="1:30" ht="19.5" customHeight="1" thickBot="1">
      <c r="A16" s="19"/>
      <c r="B16" s="280" t="s">
        <v>243</v>
      </c>
      <c r="C16" s="277" t="s">
        <v>310</v>
      </c>
      <c r="D16" s="292"/>
      <c r="E16" s="292"/>
      <c r="F16" s="292"/>
      <c r="G16" s="292"/>
      <c r="H16" s="292"/>
      <c r="I16" s="292"/>
      <c r="J16" s="291"/>
      <c r="K16" s="291"/>
      <c r="L16" s="291"/>
      <c r="M16" s="287"/>
      <c r="N16" s="291"/>
      <c r="O16" s="287"/>
      <c r="P16" s="291"/>
      <c r="Q16" s="291"/>
      <c r="R16" s="291"/>
      <c r="S16" s="291"/>
      <c r="T16" s="291"/>
      <c r="U16" s="294"/>
      <c r="V16" s="291"/>
      <c r="W16" s="291"/>
      <c r="X16" s="291"/>
      <c r="Y16" s="295"/>
    </row>
    <row r="17" spans="1:26" ht="19.5" customHeight="1" thickBot="1">
      <c r="A17" s="19"/>
      <c r="B17" s="279" t="s">
        <v>43</v>
      </c>
      <c r="C17" s="276" t="s">
        <v>23</v>
      </c>
      <c r="D17" s="300" t="s">
        <v>327</v>
      </c>
      <c r="E17" s="300" t="s">
        <v>327</v>
      </c>
      <c r="F17" s="291"/>
      <c r="G17" s="291"/>
      <c r="H17" s="291"/>
      <c r="I17" s="291"/>
      <c r="J17" s="291"/>
      <c r="K17" s="291"/>
      <c r="L17" s="291"/>
      <c r="M17" s="291"/>
      <c r="N17" s="291"/>
      <c r="O17" s="291"/>
      <c r="P17" s="291"/>
      <c r="Q17" s="291"/>
      <c r="R17" s="291"/>
      <c r="S17" s="291"/>
      <c r="T17" s="291"/>
      <c r="U17" s="294"/>
      <c r="V17" s="291"/>
      <c r="W17" s="291"/>
      <c r="X17" s="291"/>
      <c r="Y17" s="295"/>
    </row>
    <row r="18" spans="1:26" ht="19.5" customHeight="1" thickBot="1">
      <c r="A18" s="19"/>
      <c r="B18" s="280" t="s">
        <v>248</v>
      </c>
      <c r="C18" s="277" t="s">
        <v>310</v>
      </c>
      <c r="D18" s="301" t="s">
        <v>327</v>
      </c>
      <c r="E18" s="301" t="s">
        <v>327</v>
      </c>
      <c r="F18" s="296"/>
      <c r="G18" s="296"/>
      <c r="H18" s="296"/>
      <c r="I18" s="296"/>
      <c r="J18" s="296"/>
      <c r="K18" s="296"/>
      <c r="L18" s="296"/>
      <c r="M18" s="296"/>
      <c r="N18" s="296"/>
      <c r="O18" s="296"/>
      <c r="P18" s="296"/>
      <c r="Q18" s="296"/>
      <c r="R18" s="296"/>
      <c r="S18" s="296"/>
      <c r="T18" s="296"/>
      <c r="U18" s="297"/>
      <c r="V18" s="296"/>
      <c r="W18" s="296"/>
      <c r="X18" s="296"/>
      <c r="Y18" s="298"/>
    </row>
    <row r="19" spans="1:26" ht="15.75" customHeight="1" thickBot="1">
      <c r="A19" s="19"/>
      <c r="B19" s="19"/>
      <c r="C19" s="407"/>
      <c r="D19" s="407"/>
      <c r="E19" s="407"/>
      <c r="F19" s="407"/>
      <c r="G19" s="407"/>
      <c r="H19" s="407"/>
      <c r="I19" s="407"/>
      <c r="J19" s="407"/>
      <c r="K19" s="407"/>
      <c r="L19" s="407"/>
      <c r="M19" s="407"/>
      <c r="N19" s="407"/>
      <c r="O19" s="407"/>
      <c r="P19" s="407"/>
      <c r="Q19" s="407"/>
      <c r="R19" s="407"/>
      <c r="S19" s="407"/>
      <c r="T19" s="407"/>
      <c r="U19" s="407"/>
      <c r="V19" s="407"/>
      <c r="W19" s="407"/>
      <c r="X19" s="407"/>
      <c r="Y19" s="407"/>
    </row>
    <row r="20" spans="1:26" ht="14.4">
      <c r="A20" s="19"/>
      <c r="B20" s="19"/>
      <c r="E20" s="252" t="s">
        <v>317</v>
      </c>
      <c r="F20" s="304"/>
      <c r="G20" s="305"/>
      <c r="H20" s="38" t="s">
        <v>320</v>
      </c>
      <c r="O20" s="228"/>
      <c r="P20" s="228"/>
      <c r="Q20" s="228"/>
      <c r="R20" s="228"/>
      <c r="S20" s="228"/>
      <c r="T20" s="228"/>
      <c r="U20" s="228"/>
      <c r="V20" s="228"/>
      <c r="W20" s="228"/>
      <c r="X20" s="228"/>
      <c r="Y20" s="228"/>
    </row>
    <row r="21" spans="1:26" ht="14.4">
      <c r="A21" s="19"/>
      <c r="B21" s="19"/>
      <c r="E21" s="252" t="s">
        <v>318</v>
      </c>
      <c r="F21" s="306"/>
      <c r="G21" s="307"/>
      <c r="H21" s="38" t="s">
        <v>321</v>
      </c>
      <c r="O21" s="19"/>
      <c r="P21" s="19"/>
      <c r="Q21" s="19"/>
      <c r="R21" s="19"/>
      <c r="S21" s="19"/>
    </row>
    <row r="22" spans="1:26" ht="14.4">
      <c r="A22" s="19"/>
      <c r="B22" s="19"/>
      <c r="E22" s="252" t="s">
        <v>319</v>
      </c>
      <c r="F22" s="308"/>
      <c r="G22" s="309"/>
      <c r="H22" s="38" t="s">
        <v>322</v>
      </c>
      <c r="O22" s="19"/>
      <c r="P22" s="19"/>
      <c r="Q22" s="19"/>
      <c r="R22" s="19"/>
      <c r="S22" s="19"/>
    </row>
    <row r="23" spans="1:26" ht="15.75" customHeight="1" thickBot="1">
      <c r="A23" s="19"/>
      <c r="B23" s="19"/>
      <c r="E23" s="252" t="s">
        <v>326</v>
      </c>
      <c r="F23" s="501" t="s">
        <v>327</v>
      </c>
      <c r="G23" s="502"/>
      <c r="H23" s="38" t="s">
        <v>328</v>
      </c>
      <c r="O23" s="19"/>
      <c r="P23" s="19"/>
      <c r="Q23" s="19"/>
      <c r="R23" s="19"/>
      <c r="S23" s="19"/>
    </row>
    <row r="24" spans="1:26">
      <c r="A24" s="19"/>
      <c r="B24" s="19"/>
      <c r="E24" s="19"/>
      <c r="F24" s="19"/>
      <c r="G24" s="19"/>
      <c r="H24" s="19"/>
      <c r="L24" s="19"/>
      <c r="M24" s="19"/>
      <c r="N24" s="19"/>
      <c r="O24" s="19"/>
      <c r="P24" s="19"/>
      <c r="Q24" s="19"/>
      <c r="R24" s="19"/>
      <c r="S24" s="19"/>
    </row>
    <row r="25" spans="1:26" ht="15" thickBot="1">
      <c r="A25" s="19"/>
      <c r="B25" s="19"/>
      <c r="E25" s="229" t="s">
        <v>47</v>
      </c>
      <c r="F25" s="19"/>
      <c r="G25" s="19"/>
      <c r="H25" s="44" t="s">
        <v>48</v>
      </c>
      <c r="L25" s="19"/>
      <c r="M25" s="19"/>
      <c r="N25" s="19"/>
      <c r="O25" s="19"/>
      <c r="P25" s="19"/>
      <c r="Q25" s="19"/>
      <c r="R25" s="19"/>
      <c r="S25" s="19"/>
    </row>
    <row r="26" spans="1:26" ht="15.75" customHeight="1" thickBot="1">
      <c r="A26" s="19"/>
      <c r="B26" s="19"/>
      <c r="E26" s="229" t="s">
        <v>49</v>
      </c>
      <c r="F26" s="506" t="s">
        <v>23</v>
      </c>
      <c r="G26" s="507"/>
      <c r="H26" s="44" t="s">
        <v>50</v>
      </c>
      <c r="L26" s="19"/>
      <c r="M26" s="19"/>
      <c r="N26" s="19"/>
      <c r="O26" s="19"/>
      <c r="P26" s="19"/>
      <c r="Q26" s="19"/>
      <c r="R26" s="19"/>
      <c r="S26" s="19"/>
    </row>
    <row r="27" spans="1:26" ht="15" thickBot="1">
      <c r="A27" s="19"/>
      <c r="B27" s="19"/>
      <c r="C27" s="229"/>
      <c r="D27" s="229"/>
      <c r="E27" s="229" t="s">
        <v>51</v>
      </c>
      <c r="F27" s="377" t="s">
        <v>24</v>
      </c>
      <c r="G27" s="377"/>
      <c r="H27" s="38" t="s">
        <v>52</v>
      </c>
      <c r="I27" s="229"/>
      <c r="L27" s="19"/>
      <c r="M27" s="19"/>
      <c r="N27" s="19"/>
      <c r="O27" s="19"/>
      <c r="P27" s="19"/>
      <c r="Q27" s="19"/>
      <c r="R27" s="19"/>
      <c r="S27" s="19"/>
    </row>
    <row r="28" spans="1:26">
      <c r="A28" s="19"/>
      <c r="B28" s="19"/>
      <c r="C28" s="229"/>
      <c r="D28" s="229"/>
      <c r="K28" s="229"/>
      <c r="L28" s="229"/>
      <c r="M28" s="229"/>
      <c r="N28" s="229"/>
      <c r="O28" s="229"/>
      <c r="P28" s="229"/>
      <c r="Q28" s="229"/>
      <c r="R28" s="229"/>
      <c r="S28" s="229"/>
    </row>
    <row r="29" spans="1:26">
      <c r="A29" s="19"/>
      <c r="B29" s="19"/>
      <c r="C29" s="229"/>
      <c r="D29" s="229"/>
      <c r="E29" s="229"/>
      <c r="F29" s="229"/>
      <c r="G29" s="229"/>
      <c r="H29" s="229"/>
      <c r="I29" s="229"/>
      <c r="J29" s="229"/>
      <c r="K29" s="229"/>
      <c r="L29" s="229"/>
      <c r="M29" s="229"/>
      <c r="N29" s="229"/>
      <c r="O29" s="229"/>
      <c r="P29" s="229"/>
      <c r="Q29" s="229"/>
      <c r="R29" s="229"/>
      <c r="S29" s="229"/>
      <c r="T29" s="229"/>
      <c r="U29" s="229"/>
      <c r="V29" s="229"/>
      <c r="W29" s="229"/>
      <c r="X29" s="229"/>
      <c r="Y29" s="229"/>
    </row>
    <row r="30" spans="1:26" s="8" customFormat="1">
      <c r="C30" s="28" t="s">
        <v>182</v>
      </c>
      <c r="D30" s="28"/>
      <c r="E30" s="28"/>
      <c r="F30" s="28"/>
      <c r="G30" s="28"/>
      <c r="H30" s="28"/>
      <c r="I30" s="28"/>
      <c r="J30" s="28"/>
      <c r="K30" s="28"/>
      <c r="L30" s="28"/>
      <c r="M30" s="28"/>
      <c r="N30" s="28"/>
      <c r="O30" s="28"/>
      <c r="P30" s="28"/>
      <c r="Q30" s="28"/>
      <c r="R30" s="28"/>
      <c r="S30" s="28"/>
      <c r="T30" s="28"/>
      <c r="U30" s="28"/>
      <c r="V30" s="28"/>
      <c r="W30" s="28"/>
      <c r="X30" s="28"/>
      <c r="Y30" s="28"/>
    </row>
    <row r="31" spans="1:26" s="8" customFormat="1">
      <c r="C31" s="28" t="s">
        <v>184</v>
      </c>
      <c r="D31" s="28"/>
      <c r="E31" s="28"/>
      <c r="F31" s="28"/>
      <c r="G31" s="28"/>
      <c r="H31" s="28"/>
      <c r="I31" s="28"/>
      <c r="J31" s="28"/>
      <c r="K31" s="28"/>
      <c r="L31" s="28"/>
      <c r="M31" s="28"/>
      <c r="N31" s="28"/>
      <c r="O31" s="28"/>
      <c r="P31" s="28"/>
      <c r="Q31" s="28"/>
      <c r="R31" s="28"/>
      <c r="S31" s="28"/>
      <c r="T31" s="28"/>
      <c r="U31" s="28"/>
      <c r="V31" s="28"/>
      <c r="W31" s="28"/>
      <c r="X31" s="28"/>
      <c r="Y31" s="28"/>
    </row>
    <row r="32" spans="1:26" s="8" customFormat="1">
      <c r="C32" s="28" t="s">
        <v>186</v>
      </c>
      <c r="D32" s="28"/>
      <c r="E32" s="28"/>
      <c r="F32" s="28"/>
      <c r="G32" s="28"/>
      <c r="H32" s="28"/>
      <c r="I32" s="28"/>
      <c r="J32" s="28"/>
      <c r="K32" s="28"/>
      <c r="L32" s="28"/>
      <c r="M32" s="28"/>
      <c r="N32" s="28"/>
      <c r="O32" s="28"/>
      <c r="P32" s="28"/>
      <c r="Q32" s="28"/>
      <c r="R32" s="28"/>
      <c r="S32" s="28"/>
      <c r="T32" s="28"/>
      <c r="U32" s="28"/>
      <c r="V32" s="28"/>
      <c r="W32" s="28"/>
      <c r="X32" s="28"/>
      <c r="Y32" s="28"/>
      <c r="Z32" s="31"/>
    </row>
    <row r="33" spans="3:28" s="8" customFormat="1">
      <c r="C33" s="28" t="s">
        <v>188</v>
      </c>
      <c r="D33" s="28"/>
      <c r="E33" s="28"/>
      <c r="F33" s="28"/>
      <c r="G33" s="28"/>
      <c r="H33" s="28"/>
      <c r="I33" s="28"/>
      <c r="J33" s="28"/>
      <c r="K33" s="28"/>
      <c r="L33" s="28"/>
      <c r="M33" s="28"/>
      <c r="N33" s="28"/>
      <c r="O33" s="28"/>
      <c r="P33" s="28"/>
      <c r="Q33" s="28"/>
      <c r="R33" s="28"/>
      <c r="S33" s="28"/>
      <c r="T33" s="28"/>
      <c r="U33" s="28"/>
      <c r="V33" s="28"/>
      <c r="W33" s="28"/>
      <c r="X33" s="28"/>
      <c r="Y33" s="28"/>
      <c r="Z33" s="31"/>
    </row>
    <row r="34" spans="3:28" s="8" customFormat="1"/>
    <row r="35" spans="3:28">
      <c r="C35" s="10"/>
      <c r="D35" s="10"/>
      <c r="E35" s="10"/>
      <c r="F35" s="10"/>
      <c r="G35" s="10"/>
      <c r="H35" s="10"/>
      <c r="I35" s="10"/>
      <c r="J35" s="10"/>
      <c r="K35" s="10"/>
      <c r="L35" s="10"/>
      <c r="M35" s="10"/>
      <c r="N35" s="10"/>
      <c r="O35" s="10"/>
      <c r="P35" s="10"/>
      <c r="Q35" s="10"/>
      <c r="R35" s="10"/>
      <c r="S35" s="10"/>
      <c r="T35" s="10"/>
      <c r="U35" s="10"/>
      <c r="V35" s="10"/>
      <c r="W35" s="10"/>
      <c r="X35" s="10"/>
      <c r="Y35" s="10"/>
      <c r="Z35" s="8"/>
      <c r="AA35" s="8"/>
      <c r="AB35" s="8"/>
    </row>
    <row r="36" spans="3:28">
      <c r="C36" s="10"/>
      <c r="D36" s="10"/>
      <c r="E36" s="10"/>
      <c r="F36" s="10"/>
      <c r="G36" s="10"/>
      <c r="H36" s="10"/>
      <c r="I36" s="10"/>
      <c r="J36" s="10"/>
      <c r="K36" s="10"/>
      <c r="L36" s="10"/>
      <c r="M36" s="10"/>
      <c r="N36" s="10"/>
      <c r="O36" s="10"/>
      <c r="P36" s="10"/>
      <c r="Q36" s="10"/>
      <c r="R36" s="10"/>
      <c r="S36" s="10"/>
      <c r="T36" s="10"/>
      <c r="U36" s="10"/>
      <c r="V36" s="10"/>
      <c r="W36" s="10"/>
      <c r="X36" s="10"/>
      <c r="Y36" s="10"/>
      <c r="Z36" s="8"/>
      <c r="AA36" s="8"/>
      <c r="AB36" s="8"/>
    </row>
    <row r="37" spans="3:28">
      <c r="C37" s="12"/>
      <c r="D37" s="12"/>
      <c r="E37" s="12"/>
      <c r="F37" s="12"/>
      <c r="G37" s="12"/>
      <c r="H37" s="12"/>
      <c r="I37" s="12"/>
      <c r="J37" s="12"/>
      <c r="K37" s="12"/>
      <c r="L37" s="12"/>
      <c r="M37" s="12"/>
      <c r="N37" s="12"/>
      <c r="O37" s="12"/>
      <c r="P37" s="12"/>
      <c r="Q37" s="12"/>
      <c r="R37" s="12"/>
      <c r="S37" s="12"/>
      <c r="T37" s="12"/>
      <c r="U37" s="12"/>
      <c r="V37" s="12"/>
      <c r="W37" s="12"/>
      <c r="X37" s="12"/>
      <c r="Y37" s="12"/>
    </row>
    <row r="38" spans="3:28">
      <c r="C38" s="12"/>
      <c r="D38" s="12"/>
      <c r="E38" s="12"/>
      <c r="F38" s="12"/>
      <c r="G38" s="12"/>
      <c r="H38" s="12"/>
      <c r="I38" s="12"/>
      <c r="J38" s="12"/>
      <c r="K38" s="12"/>
      <c r="L38" s="12"/>
      <c r="M38" s="12"/>
      <c r="N38" s="12"/>
      <c r="O38" s="12"/>
      <c r="P38" s="12"/>
      <c r="Q38" s="12"/>
      <c r="R38" s="12"/>
      <c r="S38" s="12"/>
      <c r="T38" s="12"/>
      <c r="U38" s="12"/>
      <c r="V38" s="12"/>
      <c r="W38" s="12"/>
      <c r="X38" s="12"/>
      <c r="Y38" s="12"/>
    </row>
    <row r="39" spans="3:28">
      <c r="C39" s="12"/>
      <c r="D39" s="12"/>
      <c r="E39" s="12"/>
      <c r="F39" s="12"/>
      <c r="G39" s="12"/>
      <c r="H39" s="12"/>
      <c r="I39" s="12"/>
      <c r="J39" s="12"/>
      <c r="K39" s="12"/>
      <c r="L39" s="12"/>
      <c r="M39" s="12"/>
      <c r="N39" s="12"/>
      <c r="O39" s="12"/>
      <c r="P39" s="12"/>
      <c r="Q39" s="12"/>
      <c r="R39" s="12"/>
      <c r="S39" s="12"/>
      <c r="T39" s="12"/>
      <c r="U39" s="12"/>
      <c r="V39" s="12"/>
      <c r="W39" s="12"/>
      <c r="X39" s="12"/>
      <c r="Y39" s="12"/>
    </row>
  </sheetData>
  <mergeCells count="30">
    <mergeCell ref="W8:Y8"/>
    <mergeCell ref="F26:G26"/>
    <mergeCell ref="H7:J7"/>
    <mergeCell ref="H8:J8"/>
    <mergeCell ref="F7:G7"/>
    <mergeCell ref="F8:G8"/>
    <mergeCell ref="D7:E7"/>
    <mergeCell ref="B1:C1"/>
    <mergeCell ref="B3:Y3"/>
    <mergeCell ref="Q4:S4"/>
    <mergeCell ref="N4:P4"/>
    <mergeCell ref="F4:G4"/>
    <mergeCell ref="W4:Y4"/>
    <mergeCell ref="W7:Y7"/>
    <mergeCell ref="D8:E8"/>
    <mergeCell ref="F27:G27"/>
    <mergeCell ref="T4:V4"/>
    <mergeCell ref="C19:Y19"/>
    <mergeCell ref="K7:M7"/>
    <mergeCell ref="K8:M8"/>
    <mergeCell ref="K4:M4"/>
    <mergeCell ref="T7:V7"/>
    <mergeCell ref="T8:V8"/>
    <mergeCell ref="Q7:S7"/>
    <mergeCell ref="Q8:S8"/>
    <mergeCell ref="N7:P7"/>
    <mergeCell ref="N8:P8"/>
    <mergeCell ref="H4:J4"/>
    <mergeCell ref="F23:G23"/>
    <mergeCell ref="D4:E4"/>
  </mergeCells>
  <hyperlinks>
    <hyperlink ref="B1" location="Content!A1" display="↖ atgal į turinį" xr:uid="{7E7B32CD-3BAE-4A3D-917C-45C0521BB515}"/>
    <hyperlink ref="B1:C1" location="Content!A1" display="↖ atgal į turinį " xr:uid="{4F0F2448-2ADE-4B0E-ACC5-7AED12A29809}"/>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82EF8B-66EA-4F82-A307-9453EED8E3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www.w3.org/XML/1998/namespace"/>
    <ds:schemaRef ds:uri="http://purl.org/dc/dcmitype/"/>
  </ds:schemaRefs>
</ds:datastoreItem>
</file>

<file path=customXml/itemProps2.xml><?xml version="1.0" encoding="utf-8"?>
<ds:datastoreItem xmlns:ds="http://schemas.openxmlformats.org/officeDocument/2006/customXml" ds:itemID="{435DA964-1C8E-42AC-A385-971AFF0CB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80A987-4A38-4293-857B-392ED21F98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2</vt:i4>
      </vt:variant>
    </vt:vector>
  </HeadingPairs>
  <TitlesOfParts>
    <vt:vector size="10" baseType="lpstr">
      <vt:lpstr>Content</vt:lpstr>
      <vt:lpstr>1. Summary</vt:lpstr>
      <vt:lpstr>2. Macro</vt:lpstr>
      <vt:lpstr>3. GGbudget</vt:lpstr>
      <vt:lpstr>4. SurplusGG</vt:lpstr>
      <vt:lpstr>5. GGexpenditure</vt:lpstr>
      <vt:lpstr>6. GGbudgets</vt:lpstr>
      <vt:lpstr>7. History</vt:lpstr>
      <vt:lpstr>eps</vt:lpstr>
      <vt:lpstr>metai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2024-05-22T05:27:35Z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