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Šios_darbaknygės"/>
  <mc:AlternateContent xmlns:mc="http://schemas.openxmlformats.org/markup-compatibility/2006">
    <mc:Choice Requires="x15">
      <x15ac:absPath xmlns:x15ac="http://schemas.microsoft.com/office/spreadsheetml/2010/11/ac" url="C:\Users\vbindoriute\Desktop\"/>
    </mc:Choice>
  </mc:AlternateContent>
  <xr:revisionPtr revIDLastSave="0" documentId="13_ncr:1_{3D505AED-4B02-41D6-A253-0D348F107B00}" xr6:coauthVersionLast="47" xr6:coauthVersionMax="47" xr10:uidLastSave="{00000000-0000-0000-0000-000000000000}"/>
  <bookViews>
    <workbookView xWindow="-108" yWindow="-108" windowWidth="23256" windowHeight="12576"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 name="7. History" sheetId="8" r:id="rId8"/>
  </sheets>
  <externalReferences>
    <externalReference r:id="rId9"/>
  </externalReferences>
  <definedNames>
    <definedName name="eps">'2. Macro'!$D$47</definedName>
    <definedName name="Kalba">[1]Content!$B$2</definedName>
    <definedName name="metai">'3. GGbudget'!$F$5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7" l="1"/>
  <c r="F22" i="7"/>
  <c r="D8" i="8"/>
  <c r="D7" i="8"/>
  <c r="U6" i="8" l="1"/>
  <c r="K19" i="3"/>
  <c r="M20" i="3" l="1"/>
  <c r="F8" i="8"/>
  <c r="F7" i="8"/>
  <c r="H8" i="8"/>
  <c r="H7" i="8"/>
  <c r="K8" i="8" l="1"/>
  <c r="K7" i="8"/>
  <c r="N8" i="8"/>
  <c r="N7" i="8"/>
  <c r="Q8" i="8"/>
  <c r="Q7" i="8"/>
  <c r="T8" i="8"/>
  <c r="T7" i="8"/>
  <c r="W8" i="8"/>
  <c r="W7" i="8"/>
  <c r="F56" i="6" l="1"/>
  <c r="F54" i="6" l="1"/>
  <c r="G56" i="6" l="1"/>
  <c r="G45" i="6"/>
  <c r="F45" i="6"/>
  <c r="F31" i="5"/>
  <c r="E31" i="5"/>
  <c r="M23" i="3" l="1"/>
  <c r="H9" i="4"/>
  <c r="H11" i="4"/>
  <c r="G9" i="4"/>
  <c r="G52" i="6" l="1"/>
  <c r="F52" i="6"/>
  <c r="F29" i="7"/>
  <c r="E29" i="7"/>
  <c r="E28" i="7"/>
  <c r="F38" i="6"/>
  <c r="E27" i="5"/>
  <c r="F7" i="4"/>
  <c r="E7" i="4"/>
  <c r="H6" i="4"/>
  <c r="H12" i="4" s="1"/>
  <c r="G6" i="4"/>
  <c r="G16" i="4" s="1"/>
  <c r="E6" i="4"/>
  <c r="E16" i="4" s="1"/>
  <c r="F6" i="4"/>
  <c r="F14" i="4" s="1"/>
  <c r="G5" i="4"/>
  <c r="E5" i="4"/>
  <c r="B3" i="2"/>
  <c r="L35" i="3"/>
  <c r="M35" i="3"/>
  <c r="L36" i="3"/>
  <c r="M36" i="3"/>
  <c r="L34" i="3"/>
  <c r="M34" i="3"/>
  <c r="D17" i="3"/>
  <c r="K32" i="3"/>
  <c r="L32" i="3"/>
  <c r="M32" i="3"/>
  <c r="N27" i="3"/>
  <c r="O27" i="3"/>
  <c r="P27" i="3"/>
  <c r="Q27" i="3"/>
  <c r="N28" i="3"/>
  <c r="O28" i="3"/>
  <c r="P28" i="3"/>
  <c r="P30" i="3" s="1"/>
  <c r="Q28" i="3"/>
  <c r="Q30" i="3" s="1"/>
  <c r="N29" i="3"/>
  <c r="O29" i="3"/>
  <c r="P29" i="3"/>
  <c r="Q29" i="3"/>
  <c r="O30" i="3"/>
  <c r="M30" i="3"/>
  <c r="N30" i="3"/>
  <c r="L29" i="3"/>
  <c r="M29" i="3"/>
  <c r="L28" i="3"/>
  <c r="M28" i="3"/>
  <c r="L27" i="3"/>
  <c r="M27" i="3"/>
  <c r="L22" i="3"/>
  <c r="M22" i="3"/>
  <c r="L23" i="3"/>
  <c r="L24" i="3"/>
  <c r="M24" i="3"/>
  <c r="L25" i="3"/>
  <c r="M25" i="3"/>
  <c r="L26" i="3"/>
  <c r="M26" i="3"/>
  <c r="L20" i="3"/>
  <c r="L21" i="3"/>
  <c r="M21" i="3"/>
  <c r="F21" i="3"/>
  <c r="L19" i="3"/>
  <c r="M19" i="3"/>
  <c r="N19" i="3"/>
  <c r="L13" i="3"/>
  <c r="M13" i="3"/>
  <c r="L14" i="3"/>
  <c r="M14" i="3"/>
  <c r="N14" i="3"/>
  <c r="N13" i="3"/>
  <c r="L17" i="3"/>
  <c r="M17" i="3"/>
  <c r="L18" i="3"/>
  <c r="M18" i="3"/>
  <c r="N18" i="3"/>
  <c r="N17" i="3"/>
  <c r="L10" i="3"/>
  <c r="M10" i="3"/>
  <c r="L9" i="3"/>
  <c r="M9" i="3"/>
  <c r="N10" i="3"/>
  <c r="N9" i="3"/>
  <c r="F8" i="3"/>
  <c r="G8" i="3"/>
  <c r="H8" i="3"/>
  <c r="I8" i="3"/>
  <c r="J8" i="3"/>
  <c r="K8" i="3"/>
  <c r="L8" i="3"/>
  <c r="M8" i="3"/>
  <c r="E8" i="3"/>
  <c r="Q5" i="3"/>
  <c r="P5" i="3"/>
  <c r="O5" i="3"/>
  <c r="N5" i="3"/>
  <c r="L5" i="3"/>
  <c r="M5" i="3" s="1"/>
  <c r="E5" i="3"/>
  <c r="G14" i="4" l="1"/>
  <c r="F16" i="4"/>
  <c r="H16" i="4"/>
  <c r="E12" i="4"/>
  <c r="E14" i="4"/>
  <c r="H14" i="4"/>
  <c r="D26" i="3" l="1"/>
  <c r="D38" i="3" s="1"/>
  <c r="F21" i="4" l="1"/>
  <c r="F34" i="3" l="1"/>
  <c r="G34" i="3"/>
  <c r="H34" i="3"/>
  <c r="I34" i="3"/>
  <c r="J34" i="3"/>
  <c r="K34" i="3"/>
  <c r="E34" i="3"/>
  <c r="O13" i="3" l="1"/>
  <c r="P13" i="3"/>
  <c r="Q13" i="3"/>
  <c r="Q14" i="3"/>
  <c r="N8" i="3"/>
  <c r="O9" i="3"/>
  <c r="P9" i="3"/>
  <c r="Q9" i="3"/>
  <c r="O8" i="3"/>
  <c r="O10" i="3" s="1"/>
  <c r="P8" i="3"/>
  <c r="P10" i="3" s="1"/>
  <c r="Q8" i="3"/>
  <c r="Q10" i="3" s="1"/>
  <c r="K9" i="3"/>
  <c r="F5" i="3"/>
  <c r="G5" i="3" s="1"/>
  <c r="H5" i="3" s="1"/>
  <c r="I5" i="3" s="1"/>
  <c r="J5" i="3" s="1"/>
  <c r="K5" i="3" s="1"/>
  <c r="P14" i="3" l="1"/>
  <c r="O14" i="3"/>
  <c r="F7" i="6"/>
  <c r="F34" i="6" s="1"/>
  <c r="F6" i="6"/>
  <c r="G32" i="6" s="1"/>
  <c r="G34" i="6" l="1"/>
  <c r="F32" i="6"/>
  <c r="F39" i="6" l="1"/>
  <c r="F53" i="6" s="1"/>
  <c r="F55" i="6" s="1"/>
  <c r="K36" i="3" l="1"/>
  <c r="K35" i="3"/>
  <c r="H29" i="4" l="1"/>
  <c r="G29" i="4"/>
  <c r="H7" i="4"/>
  <c r="H19" i="4"/>
  <c r="G19" i="4"/>
  <c r="H17" i="4"/>
  <c r="G17" i="4"/>
  <c r="H21" i="4" l="1"/>
  <c r="G21" i="4"/>
  <c r="E21" i="4"/>
  <c r="F40" i="6" l="1"/>
  <c r="H23" i="4" l="1"/>
  <c r="G23" i="4"/>
  <c r="K20" i="3" l="1"/>
  <c r="E19" i="3"/>
  <c r="F19" i="3"/>
  <c r="G19" i="3"/>
  <c r="H19" i="3"/>
  <c r="I19" i="3"/>
  <c r="J19" i="3"/>
  <c r="O18" i="3"/>
  <c r="O17" i="3"/>
  <c r="G17" i="6" l="1"/>
  <c r="F17" i="6"/>
  <c r="G18" i="6" s="1"/>
  <c r="G19" i="6" l="1"/>
  <c r="F19" i="6"/>
  <c r="F18" i="6"/>
  <c r="K27" i="3"/>
  <c r="G10" i="4"/>
  <c r="G28" i="4" l="1"/>
  <c r="G20" i="4"/>
  <c r="G18" i="4"/>
  <c r="G24" i="4"/>
  <c r="D19" i="3" l="1"/>
  <c r="K13" i="3" l="1"/>
  <c r="P17" i="3" l="1"/>
  <c r="Q17" i="3"/>
  <c r="P18" i="3"/>
  <c r="Q18" i="3"/>
  <c r="K17" i="3"/>
  <c r="N20" i="3" l="1"/>
  <c r="N22" i="3" s="1"/>
  <c r="F13" i="3"/>
  <c r="G13" i="3"/>
  <c r="H13" i="3"/>
  <c r="I13" i="3"/>
  <c r="J13" i="3"/>
  <c r="F10" i="3"/>
  <c r="G10" i="3"/>
  <c r="H10" i="3"/>
  <c r="I10" i="3"/>
  <c r="J10" i="3"/>
  <c r="K10" i="3"/>
  <c r="F9" i="3"/>
  <c r="G9" i="3"/>
  <c r="H9" i="3"/>
  <c r="I9" i="3"/>
  <c r="J9" i="3"/>
  <c r="N21" i="3" l="1"/>
  <c r="N23" i="3"/>
  <c r="O20" i="3"/>
  <c r="O22" i="3" s="1"/>
  <c r="O19" i="3"/>
  <c r="O21" i="3" s="1"/>
  <c r="H18" i="4"/>
  <c r="H24" i="4"/>
  <c r="H20" i="4"/>
  <c r="H28" i="4"/>
  <c r="N25" i="3"/>
  <c r="N24" i="3"/>
  <c r="N26" i="3"/>
  <c r="H5" i="4"/>
  <c r="O24" i="3" l="1"/>
  <c r="O26" i="3"/>
  <c r="P19" i="3"/>
  <c r="P20" i="3"/>
  <c r="O23" i="3"/>
  <c r="O25" i="3"/>
  <c r="G17" i="3"/>
  <c r="P22" i="3" l="1"/>
  <c r="P24" i="3"/>
  <c r="P26" i="3"/>
  <c r="Q19" i="3"/>
  <c r="Q20" i="3"/>
  <c r="E14" i="7"/>
  <c r="E15" i="7"/>
  <c r="F14" i="7"/>
  <c r="F15" i="7"/>
  <c r="P21" i="3"/>
  <c r="P23" i="3"/>
  <c r="P25" i="3"/>
  <c r="K28" i="3"/>
  <c r="L30" i="3" s="1"/>
  <c r="K21" i="3"/>
  <c r="Q24" i="3" l="1"/>
  <c r="Q26" i="3"/>
  <c r="Q22" i="3"/>
  <c r="Q25" i="3"/>
  <c r="Q21" i="3"/>
  <c r="Q23" i="3"/>
  <c r="E7" i="5"/>
  <c r="C7" i="2" s="1"/>
  <c r="E6" i="5"/>
  <c r="C6" i="2" s="1"/>
  <c r="J20" i="3" l="1"/>
  <c r="J26" i="3" l="1"/>
  <c r="F43" i="6" l="1"/>
  <c r="D26" i="2" l="1"/>
  <c r="D25" i="2"/>
  <c r="D32" i="2"/>
  <c r="D31" i="2"/>
  <c r="E21" i="5" l="1"/>
  <c r="F23" i="5"/>
  <c r="E23" i="5"/>
  <c r="F21" i="5"/>
  <c r="F20" i="5"/>
  <c r="E20" i="5"/>
  <c r="D12" i="2" l="1"/>
  <c r="C12" i="2"/>
  <c r="E36" i="5"/>
  <c r="E39" i="5"/>
  <c r="E38" i="5"/>
  <c r="E37" i="5"/>
  <c r="F22" i="5"/>
  <c r="D11" i="2" s="1"/>
  <c r="E32" i="5"/>
  <c r="E30" i="5"/>
  <c r="F18" i="5" l="1"/>
  <c r="E18" i="5"/>
  <c r="E17" i="5"/>
  <c r="E19" i="5" s="1"/>
  <c r="F17" i="5"/>
  <c r="F19" i="5" s="1"/>
  <c r="E40" i="5"/>
  <c r="D9" i="2"/>
  <c r="C10" i="2" l="1"/>
  <c r="D10" i="2"/>
  <c r="E22" i="5"/>
  <c r="C11" i="2" s="1"/>
  <c r="C9" i="2"/>
  <c r="F44" i="6" l="1"/>
  <c r="G20" i="6" l="1"/>
  <c r="G21" i="6" s="1"/>
  <c r="G22" i="6" l="1"/>
  <c r="G68" i="6"/>
  <c r="I68" i="6" s="1"/>
  <c r="F67" i="6" l="1"/>
  <c r="H67" i="6" s="1"/>
  <c r="G43" i="6" l="1"/>
  <c r="G44" i="6"/>
  <c r="G7" i="4"/>
  <c r="G8" i="4" s="1"/>
  <c r="G30" i="4" s="1"/>
  <c r="G11" i="4"/>
  <c r="G12" i="4" s="1"/>
  <c r="G32" i="4" s="1"/>
  <c r="H32" i="4" l="1"/>
  <c r="F32" i="7" s="1"/>
  <c r="H22" i="4"/>
  <c r="G40" i="6"/>
  <c r="G54" i="6" s="1"/>
  <c r="H10" i="4"/>
  <c r="J36" i="3"/>
  <c r="I36" i="3"/>
  <c r="H36" i="3"/>
  <c r="G36" i="3"/>
  <c r="F36" i="3"/>
  <c r="E36" i="3"/>
  <c r="J35" i="3"/>
  <c r="I35" i="3"/>
  <c r="H35" i="3"/>
  <c r="G35" i="3"/>
  <c r="F35" i="3"/>
  <c r="E35" i="3"/>
  <c r="J32" i="3"/>
  <c r="I32" i="3"/>
  <c r="H32" i="3"/>
  <c r="G32" i="3"/>
  <c r="F32" i="3"/>
  <c r="D30" i="3"/>
  <c r="D29" i="3"/>
  <c r="J28" i="3"/>
  <c r="K30" i="3" s="1"/>
  <c r="I28" i="3"/>
  <c r="H28" i="3"/>
  <c r="G28" i="3"/>
  <c r="F28" i="3"/>
  <c r="E28" i="3"/>
  <c r="D28" i="3"/>
  <c r="J27" i="3"/>
  <c r="K29" i="3" s="1"/>
  <c r="I27" i="3"/>
  <c r="H27" i="3"/>
  <c r="G27" i="3"/>
  <c r="F27" i="3"/>
  <c r="E27" i="3"/>
  <c r="D27" i="3"/>
  <c r="D39" i="3"/>
  <c r="D25" i="3"/>
  <c r="D24" i="3"/>
  <c r="D23" i="3"/>
  <c r="D22" i="3"/>
  <c r="D21" i="3"/>
  <c r="I20" i="3"/>
  <c r="I26" i="3" s="1"/>
  <c r="H20" i="3"/>
  <c r="G20" i="3"/>
  <c r="G22" i="3" s="1"/>
  <c r="F20" i="3"/>
  <c r="E20" i="3"/>
  <c r="D20" i="3"/>
  <c r="K25" i="3"/>
  <c r="I23" i="3"/>
  <c r="K18" i="3"/>
  <c r="J18" i="3"/>
  <c r="I18" i="3"/>
  <c r="H18" i="3"/>
  <c r="G18" i="3"/>
  <c r="F18" i="3"/>
  <c r="D18" i="3"/>
  <c r="J17" i="3"/>
  <c r="I17" i="3"/>
  <c r="H17" i="3"/>
  <c r="F17" i="3"/>
  <c r="K14" i="3"/>
  <c r="J14" i="3"/>
  <c r="I14" i="3"/>
  <c r="H14" i="3"/>
  <c r="G14" i="3"/>
  <c r="F14" i="3"/>
  <c r="D13" i="3"/>
  <c r="D11" i="3"/>
  <c r="D10" i="3"/>
  <c r="D9" i="3"/>
  <c r="F9" i="7" l="1"/>
  <c r="F10" i="7"/>
  <c r="D31" i="3"/>
  <c r="D32" i="3" s="1"/>
  <c r="D12" i="3"/>
  <c r="D14" i="3" s="1"/>
  <c r="D36" i="3"/>
  <c r="G8" i="6"/>
  <c r="G9" i="6" s="1"/>
  <c r="F8" i="6"/>
  <c r="F9" i="6" s="1"/>
  <c r="F14" i="6"/>
  <c r="F15" i="6" s="1"/>
  <c r="G39" i="6"/>
  <c r="G53" i="6" s="1"/>
  <c r="G67" i="6"/>
  <c r="I67" i="6" s="1"/>
  <c r="G14" i="6"/>
  <c r="I29" i="3"/>
  <c r="H30" i="3"/>
  <c r="G46" i="6"/>
  <c r="F46" i="6"/>
  <c r="J21" i="3"/>
  <c r="J23" i="3"/>
  <c r="K26" i="3"/>
  <c r="K24" i="3"/>
  <c r="K22" i="3"/>
  <c r="G29" i="3"/>
  <c r="F30" i="3"/>
  <c r="J30" i="3"/>
  <c r="G26" i="4"/>
  <c r="G31" i="4" s="1"/>
  <c r="H26" i="4"/>
  <c r="H31" i="4" s="1"/>
  <c r="G22" i="4"/>
  <c r="F29" i="3"/>
  <c r="I30" i="3"/>
  <c r="J29" i="3"/>
  <c r="H29" i="3"/>
  <c r="G30" i="3"/>
  <c r="H22" i="3"/>
  <c r="G21" i="3"/>
  <c r="E22" i="3"/>
  <c r="I22" i="3"/>
  <c r="K23" i="3"/>
  <c r="I24" i="3"/>
  <c r="I25" i="3"/>
  <c r="H21" i="3"/>
  <c r="F22" i="3"/>
  <c r="J22" i="3"/>
  <c r="J24" i="3"/>
  <c r="J25" i="3"/>
  <c r="E21" i="3"/>
  <c r="I21" i="3"/>
  <c r="D33" i="3" l="1"/>
  <c r="F16" i="6"/>
  <c r="F31" i="7"/>
  <c r="G55" i="6"/>
  <c r="F29" i="5"/>
  <c r="G15" i="6"/>
  <c r="F66" i="6"/>
  <c r="H66" i="6" s="1"/>
  <c r="F30" i="7"/>
  <c r="G66" i="6"/>
  <c r="I66" i="6" s="1"/>
  <c r="G16" i="6"/>
  <c r="F20" i="6"/>
  <c r="F21" i="6" s="1"/>
  <c r="F64" i="6"/>
  <c r="F10" i="6"/>
  <c r="G64" i="6"/>
  <c r="G10" i="6"/>
  <c r="E16" i="7"/>
  <c r="F16" i="7"/>
  <c r="D34" i="3" l="1"/>
  <c r="D35" i="3"/>
  <c r="F18" i="7"/>
  <c r="F17" i="7"/>
  <c r="F19" i="7" s="1"/>
  <c r="F12" i="7"/>
  <c r="I64" i="6"/>
  <c r="H64" i="6"/>
  <c r="F22" i="6"/>
  <c r="F68" i="6"/>
  <c r="H68" i="6" s="1"/>
  <c r="F11" i="7" l="1"/>
  <c r="F20" i="7"/>
  <c r="D29" i="2" s="1"/>
  <c r="F13" i="7"/>
  <c r="D28" i="2" s="1"/>
  <c r="D27" i="2"/>
  <c r="F21" i="7" l="1"/>
  <c r="D30" i="2" s="1"/>
  <c r="C19" i="2"/>
  <c r="C21" i="2"/>
  <c r="D21" i="2"/>
  <c r="D19" i="2" l="1"/>
  <c r="E24" i="4" l="1"/>
  <c r="F8" i="4" l="1"/>
  <c r="E20" i="4"/>
  <c r="E18" i="4"/>
  <c r="E22" i="4"/>
  <c r="E26" i="4"/>
  <c r="E28" i="4"/>
  <c r="E32" i="4" s="1"/>
  <c r="E10" i="4"/>
  <c r="E31" i="4" s="1"/>
  <c r="E8" i="4"/>
  <c r="E30" i="4" l="1"/>
  <c r="E29" i="5" s="1"/>
  <c r="E31" i="7"/>
  <c r="F22" i="4"/>
  <c r="F18" i="4"/>
  <c r="F24" i="4"/>
  <c r="F30" i="4" s="1"/>
  <c r="F28" i="4"/>
  <c r="F10" i="4"/>
  <c r="F20" i="4"/>
  <c r="F12" i="4"/>
  <c r="F26" i="4"/>
  <c r="H8" i="4"/>
  <c r="H30" i="4" s="1"/>
  <c r="F31" i="4" l="1"/>
  <c r="F32" i="4"/>
  <c r="E32" i="7" s="1"/>
  <c r="F28" i="5"/>
  <c r="G11" i="6"/>
  <c r="G12" i="6" s="1"/>
  <c r="E28" i="5"/>
  <c r="F11" i="6"/>
  <c r="F12" i="6" s="1"/>
  <c r="E30" i="7"/>
  <c r="E10" i="7" l="1"/>
  <c r="E9" i="7"/>
  <c r="E12" i="7" s="1"/>
  <c r="E18" i="7"/>
  <c r="E17" i="7"/>
  <c r="F13" i="6"/>
  <c r="F65" i="6"/>
  <c r="F23" i="6"/>
  <c r="G65" i="6"/>
  <c r="I65" i="6" s="1"/>
  <c r="G13" i="6"/>
  <c r="G23" i="6"/>
  <c r="E14" i="5"/>
  <c r="E16" i="5" s="1"/>
  <c r="E11" i="5"/>
  <c r="E13" i="5" s="1"/>
  <c r="E12" i="5"/>
  <c r="E8" i="5"/>
  <c r="E10" i="5" s="1"/>
  <c r="E9" i="5"/>
  <c r="E15" i="5"/>
  <c r="F8" i="5"/>
  <c r="F10" i="5" s="1"/>
  <c r="F14" i="5"/>
  <c r="F16" i="5" s="1"/>
  <c r="F12" i="5"/>
  <c r="F9" i="5"/>
  <c r="F15" i="5"/>
  <c r="F11" i="5"/>
  <c r="F13" i="5" s="1"/>
  <c r="E11" i="7" l="1"/>
  <c r="G25" i="6"/>
  <c r="D14" i="2"/>
  <c r="G28" i="6"/>
  <c r="G29" i="6" s="1"/>
  <c r="H65" i="6"/>
  <c r="F69" i="6"/>
  <c r="G69" i="6"/>
  <c r="G24" i="6" s="1"/>
  <c r="D15" i="2" s="1"/>
  <c r="E19" i="7"/>
  <c r="E20" i="7"/>
  <c r="E13" i="7"/>
  <c r="C28" i="2" s="1"/>
  <c r="C27" i="2"/>
  <c r="F28" i="6"/>
  <c r="F31" i="6" s="1"/>
  <c r="F25" i="6"/>
  <c r="C14" i="2"/>
  <c r="F29" i="6"/>
  <c r="F24" i="6" l="1"/>
  <c r="C15" i="2" s="1"/>
  <c r="E21" i="7"/>
  <c r="C30" i="2" s="1"/>
  <c r="C29" i="2"/>
  <c r="C18" i="2"/>
  <c r="C22" i="2"/>
  <c r="F33" i="6"/>
  <c r="G26" i="6"/>
  <c r="D17" i="2" s="1"/>
  <c r="D16" i="2"/>
  <c r="G30" i="6"/>
  <c r="C16" i="2"/>
  <c r="F26" i="6"/>
  <c r="C17" i="2" s="1"/>
  <c r="F30" i="6"/>
  <c r="G31" i="6"/>
  <c r="D18" i="2" l="1"/>
  <c r="G33" i="6"/>
  <c r="D22" i="2"/>
  <c r="C23" i="2"/>
  <c r="C20" i="2"/>
  <c r="D23" i="2" l="1"/>
  <c r="D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<sst xmlns="http://schemas.openxmlformats.org/spreadsheetml/2006/main" count="480" uniqueCount="341">
  <si>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</si>
  <si>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</si>
  <si>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</si>
  <si>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</si>
  <si>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</si>
  <si>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</si>
  <si>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</si>
  <si>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</si>
  <si>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</si>
  <si>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</si>
  <si>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</si>
  <si>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</si>
  <si>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</si>
  <si>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</si>
  <si>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</si>
  <si>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</si>
  <si>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</si>
  <si>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</si>
  <si>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</si>
  <si>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</si>
  <si>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</si>
  <si>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</si>
  <si>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</si>
  <si>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</si>
  <si>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</si>
  <si>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</si>
  <si>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</si>
  <si>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</si>
  <si>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</si>
  <si>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</si>
  <si>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</si>
  <si>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</si>
  <si>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</si>
  <si>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</si>
  <si>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</si>
  <si>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</si>
  <si>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</si>
  <si>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</si>
  <si>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</si>
  <si>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</si>
  <si>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</si>
  <si>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</si>
  <si>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</si>
  <si>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</si>
  <si>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</si>
  <si>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</si>
  <si>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</si>
  <si>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</si>
  <si>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</si>
  <si>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</si>
  <si>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</si>
  <si>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</si>
  <si>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</si>
  <si>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</si>
  <si>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</si>
  <si>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</si>
  <si>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</si>
  <si>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</si>
  <si>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</si>
  <si>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t>t−2</t>
  </si>
  <si>
    <t>t−1</t>
  </si>
  <si>
    <t>t</t>
  </si>
  <si>
    <t>t+1</t>
  </si>
  <si>
    <t>t+2</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</si>
  <si>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</si>
  <si>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</si>
  <si>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</si>
  <si>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</si>
  <si>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</si>
  <si>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</si>
  <si>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</si>
  <si>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</si>
  <si>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</si>
  <si>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</si>
  <si>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</si>
  <si>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</si>
  <si>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</si>
  <si>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</si>
  <si>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</si>
  <si>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</si>
  <si>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</si>
  <si>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</si>
  <si>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</si>
  <si>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</si>
  <si>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</si>
  <si>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</si>
  <si>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</si>
  <si>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</si>
  <si>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</si>
  <si>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</si>
  <si>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</si>
  <si>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</si>
  <si>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</si>
  <si>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</si>
  <si>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</si>
  <si>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</si>
  <si>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</si>
  <si>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</si>
  <si>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</si>
  <si>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</si>
  <si>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</si>
  <si>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</si>
  <si>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</si>
  <si>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Finansų ministerija (FM)</t>
  </si>
  <si>
    <t>Valstybės kontrolės, vykdančios fiskalinės institucijos funkcijas, skaičiavimai</t>
  </si>
  <si>
    <t>National Audit Office of Lithuania, implementing the functions of the fiscal institution, calculations</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</si>
  <si>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</si>
  <si>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</si>
  <si>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</si>
  <si>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</si>
  <si>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</si>
  <si>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</si>
  <si>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</si>
  <si>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</si>
  <si>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</si>
  <si>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</si>
  <si>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</si>
  <si>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</si>
  <si>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</si>
  <si>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</si>
  <si>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</si>
  <si>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</si>
  <si>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</si>
  <si>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</si>
  <si>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</si>
  <si>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</si>
  <si>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</si>
  <si>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</si>
  <si>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</si>
  <si>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</si>
  <si>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</si>
  <si>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</si>
  <si>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</si>
  <si>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</si>
  <si>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</si>
  <si>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</si>
  <si>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</si>
  <si>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</si>
  <si>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</si>
  <si>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</si>
  <si>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</si>
  <si>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</si>
  <si>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</si>
  <si>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</si>
  <si>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</si>
  <si>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</si>
  <si>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</si>
  <si>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</si>
  <si>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</si>
  <si>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</si>
  <si>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</si>
  <si>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</si>
  <si>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</si>
  <si>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</si>
  <si>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</si>
  <si>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</si>
  <si>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</si>
  <si>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</si>
  <si>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t>VS yra faktiškai perteklinis t metais pagal struktūrinį balansą</t>
  </si>
  <si>
    <t>SB(t) &gt; 0*</t>
  </si>
  <si>
    <t xml:space="preserve">In terms of structural balance GG sector is actually in surplus   </t>
  </si>
  <si>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</si>
  <si>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</si>
  <si>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</si>
  <si>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</si>
  <si>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</si>
  <si>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</si>
  <si>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</si>
  <si>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</si>
  <si>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</si>
  <si>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</si>
  <si>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</si>
  <si>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</si>
  <si>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</si>
  <si>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</si>
  <si>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</si>
  <si>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</si>
  <si>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</si>
  <si>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</si>
  <si>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</si>
  <si>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</si>
  <si>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</si>
  <si>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</si>
  <si>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</si>
  <si>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</si>
  <si>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</si>
  <si>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</si>
  <si>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</si>
  <si>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</si>
  <si>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</si>
  <si>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</si>
  <si>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</si>
  <si>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</si>
  <si>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</si>
  <si>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t>Numatomas VS balanso rodiklio postūmis yra teigiamas ir sudaro bent 1,0 procentinį punktą BVP</t>
  </si>
  <si>
    <t>Projected GG sector balance indicator adjustment is positive and makes up at least 1.0 percentage point of GDP</t>
  </si>
  <si>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</si>
  <si>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</si>
  <si>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</si>
  <si>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</si>
  <si>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</si>
  <si>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</si>
  <si>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</si>
  <si>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</si>
  <si>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t>at year t the GG expenditure growth limiting rule is not applied when at least one of the  A1–A5 escape clauses emerges</t>
  </si>
  <si>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</si>
  <si>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</si>
  <si>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</si>
  <si>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</si>
  <si>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</si>
  <si>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</si>
  <si>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</si>
  <si>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</si>
  <si>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</si>
  <si>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</si>
  <si>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</si>
  <si>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</si>
  <si>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</si>
  <si>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</si>
  <si>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</si>
  <si>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</si>
  <si>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</si>
  <si>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</si>
  <si>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</si>
  <si>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</si>
  <si>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</si>
  <si>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</si>
  <si>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</si>
  <si>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</si>
  <si>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</si>
  <si>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</si>
  <si>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</si>
  <si>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</si>
  <si>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</si>
  <si>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</si>
  <si>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</si>
  <si>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</si>
  <si>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</si>
  <si>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</si>
  <si>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</si>
  <si>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</si>
  <si>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</si>
  <si>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</si>
  <si>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</si>
  <si>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</si>
  <si>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</si>
  <si>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</si>
  <si>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</si>
  <si>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t>Rule for VSDF structural budget</t>
  </si>
  <si>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</si>
  <si>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</si>
  <si>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</si>
  <si>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</si>
  <si>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</si>
  <si>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</si>
  <si>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</si>
  <si>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</si>
  <si>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</si>
  <si>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</si>
  <si>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t>Nuo 2018 m. sausio 1 d. PSDF biudžetas turi būti planuojamas, tvirtinamas, keičiamas ir vykdomas taip, kad, sprendžiant pagal to biudžeto struktūrinį balanso rodiklį, apskaičiuotą kaupiamuoju principu, jis būtų perteklinis arba subalansuotas</t>
  </si>
  <si>
    <t>t−8</t>
  </si>
  <si>
    <t>t−7</t>
  </si>
  <si>
    <t>t−6</t>
  </si>
  <si>
    <t>t−5</t>
  </si>
  <si>
    <t>t−4</t>
  </si>
  <si>
    <t>t−3</t>
  </si>
  <si>
    <t>* inequality sign is strict, if a difference between both compared sides after rounding is at least 0.1,  else the sign is interpreted as =
** the adjusted aggregate balances of the GG budgets</t>
  </si>
  <si>
    <t>B3(t) ≥ B3**(t)</t>
  </si>
  <si>
    <t>B3**(t) =</t>
  </si>
  <si>
    <t>B3(t) =</t>
  </si>
  <si>
    <t>B(t) − B(t–1) ≥ 1</t>
  </si>
  <si>
    <r>
      <rPr>
        <sz val="11"/>
        <rFont val="Arial"/>
        <family val="2"/>
        <charset val="186"/>
      </rPr>
      <t xml:space="preserve">2022 Projekcijos </t>
    </r>
    <r>
      <rPr>
        <i/>
        <sz val="11"/>
        <rFont val="Arial"/>
        <family val="2"/>
        <charset val="186"/>
      </rPr>
      <t xml:space="preserve">/ </t>
    </r>
    <r>
      <rPr>
        <sz val="11"/>
        <rFont val="Arial"/>
        <family val="2"/>
        <charset val="186"/>
      </rPr>
      <t>Projections</t>
    </r>
  </si>
  <si>
    <t>Will be assessed in June 2023</t>
  </si>
  <si>
    <t>Savivaldybių biudžetų atitiktis fiskalinės drausmės taisyklėms bus vertinama 2023 m. birželio mėn.</t>
  </si>
  <si>
    <t>2022 m. pavasario EK projekcijos</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</si>
  <si>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theme="7" tint="-0.499984740745262"/>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</si>
  <si>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theme="7" tint="-0.499984740745262"/>
        <rFont val="Arial"/>
        <family val="2"/>
        <charset val="186"/>
      </rPr>
      <t xml:space="preserve"> </t>
    </r>
    <r>
      <rPr>
        <sz val="12"/>
        <color theme="7" tint="-0.499984740745262"/>
        <rFont val="Arial"/>
        <family val="2"/>
        <charset val="186"/>
      </rPr>
      <t>SUMMARY</t>
    </r>
  </si>
  <si>
    <r>
      <t xml:space="preserve">5. Perteklinio VS taisyklės sąlygos
</t>
    </r>
    <r>
      <rPr>
        <b/>
        <i/>
        <sz val="11"/>
        <color theme="7" tint="-0.499984740745262"/>
        <rFont val="Arial"/>
        <family val="2"/>
        <charset val="186"/>
      </rPr>
      <t>Conditions of the surplus GG sector rule</t>
    </r>
  </si>
  <si>
    <r>
      <t xml:space="preserve">6. VS išlaidų augimo ribojimo taisyklė
</t>
    </r>
    <r>
      <rPr>
        <b/>
        <i/>
        <sz val="11"/>
        <color theme="7" tint="-0.499984740745262"/>
        <rFont val="Arial"/>
        <family val="2"/>
        <charset val="186"/>
      </rPr>
      <t>GG expenditure growth limiting rule</t>
    </r>
  </si>
  <si>
    <r>
      <t xml:space="preserve">7. VS priskiriamų biudžetų taisyklės
</t>
    </r>
    <r>
      <rPr>
        <b/>
        <i/>
        <sz val="11"/>
        <color theme="7" tint="-0.499984740745262"/>
        <rFont val="Arial"/>
        <family val="2"/>
        <charset val="186"/>
      </rPr>
      <t>Rules for the budgets attributable to GG sector</t>
    </r>
  </si>
  <si>
    <r>
      <t>t metais, išskyrus metus, kuriais susidaro išskirtinės aplinkybės, turi būti tenkinama bent viena iš  S</t>
    </r>
    <r>
      <rPr>
        <b/>
        <vertAlign val="subscript"/>
        <sz val="11"/>
        <color theme="7" tint="-0.499984740745262"/>
        <rFont val="Arial"/>
        <family val="2"/>
        <charset val="186"/>
      </rPr>
      <t>1</t>
    </r>
    <r>
      <rPr>
        <b/>
        <sz val="11"/>
        <color theme="7" tint="-0.499984740745262"/>
        <rFont val="Arial"/>
        <family val="2"/>
        <charset val="186"/>
      </rPr>
      <t>–S</t>
    </r>
    <r>
      <rPr>
        <b/>
        <vertAlign val="subscript"/>
        <sz val="11"/>
        <color theme="7" tint="-0.499984740745262"/>
        <rFont val="Arial"/>
        <family val="2"/>
        <charset val="186"/>
      </rPr>
      <t xml:space="preserve">4 </t>
    </r>
    <r>
      <rPr>
        <b/>
        <sz val="11"/>
        <color theme="7" tint="-0.499984740745262"/>
        <rFont val="Arial"/>
        <family val="2"/>
        <charset val="186"/>
      </rPr>
      <t xml:space="preserve">sąlygų </t>
    </r>
  </si>
  <si>
    <r>
      <t xml:space="preserve">Nr.
</t>
    </r>
    <r>
      <rPr>
        <i/>
        <sz val="11"/>
        <color theme="7" tint="-0.499984740745262"/>
        <rFont val="Arial"/>
        <family val="2"/>
        <charset val="186"/>
      </rPr>
      <t>No.</t>
    </r>
  </si>
  <si>
    <r>
      <t xml:space="preserve">Taisyklė
</t>
    </r>
    <r>
      <rPr>
        <i/>
        <sz val="11"/>
        <color theme="7" tint="-0.499984740745262"/>
        <rFont val="Arial"/>
        <family val="2"/>
        <charset val="186"/>
      </rPr>
      <t>Rule</t>
    </r>
  </si>
  <si>
    <r>
      <t xml:space="preserve">Formulė 
</t>
    </r>
    <r>
      <rPr>
        <i/>
        <sz val="11"/>
        <color theme="7" tint="-0.499984740745262"/>
        <rFont val="Arial"/>
        <family val="2"/>
        <charset val="186"/>
      </rPr>
      <t>Formula</t>
    </r>
  </si>
  <si>
    <r>
      <t xml:space="preserve">Išvada
</t>
    </r>
    <r>
      <rPr>
        <i/>
        <sz val="11"/>
        <color theme="7" tint="-0.499984740745262"/>
        <rFont val="Arial"/>
        <family val="2"/>
        <charset val="186"/>
      </rPr>
      <t>Conclusion</t>
    </r>
  </si>
  <si>
    <r>
      <t>t metais, VS išlaidų augimo ribojimo taisyklė netaikoma, kai susidaro bent viena iš A</t>
    </r>
    <r>
      <rPr>
        <b/>
        <vertAlign val="subscript"/>
        <sz val="11"/>
        <color theme="7" tint="-0.499984740745262"/>
        <rFont val="Arial"/>
        <family val="2"/>
        <charset val="186"/>
      </rPr>
      <t>1</t>
    </r>
    <r>
      <rPr>
        <b/>
        <sz val="11"/>
        <color theme="7" tint="-0.499984740745262"/>
        <rFont val="Arial"/>
        <family val="2"/>
        <charset val="186"/>
      </rPr>
      <t>–A</t>
    </r>
    <r>
      <rPr>
        <b/>
        <vertAlign val="subscript"/>
        <sz val="11"/>
        <color theme="7" tint="-0.499984740745262"/>
        <rFont val="Arial"/>
        <family val="2"/>
        <charset val="186"/>
      </rPr>
      <t>5</t>
    </r>
    <r>
      <rPr>
        <b/>
        <sz val="11"/>
        <color theme="7" tint="-0.499984740745262"/>
        <rFont val="Arial"/>
        <family val="2"/>
        <charset val="186"/>
      </rPr>
      <t xml:space="preserve"> aplinkybių
</t>
    </r>
  </si>
  <si>
    <r>
      <t xml:space="preserve">Taisyklė savivaldybių (j) asignavimams, kurie viršija 0,3 proc. BVP
</t>
    </r>
    <r>
      <rPr>
        <b/>
        <i/>
        <sz val="11"/>
        <color theme="7" tint="-0.499984740745262"/>
        <rFont val="Arial"/>
        <family val="2"/>
        <charset val="186"/>
      </rPr>
      <t>Rule for local governments (j) appropriations of which exceed 0.3 % of GDP</t>
    </r>
  </si>
  <si>
    <r>
      <t>T</t>
    </r>
    <r>
      <rPr>
        <vertAlign val="subscript"/>
        <sz val="11"/>
        <color theme="7" tint="-0.499984740745262"/>
        <rFont val="Arial"/>
        <family val="2"/>
        <charset val="186"/>
      </rPr>
      <t>31</t>
    </r>
  </si>
  <si>
    <r>
      <t>T</t>
    </r>
    <r>
      <rPr>
        <vertAlign val="subscript"/>
        <sz val="11"/>
        <color theme="7" tint="-0.499984740745262"/>
        <rFont val="Arial"/>
        <family val="2"/>
        <charset val="186"/>
      </rPr>
      <t>32</t>
    </r>
  </si>
  <si>
    <r>
      <t>T</t>
    </r>
    <r>
      <rPr>
        <vertAlign val="subscript"/>
        <sz val="11"/>
        <color theme="7" tint="-0.499984740745262"/>
        <rFont val="Arial"/>
        <family val="2"/>
        <charset val="186"/>
      </rPr>
      <t>4</t>
    </r>
  </si>
  <si>
    <r>
      <t>T</t>
    </r>
    <r>
      <rPr>
        <vertAlign val="subscript"/>
        <sz val="11"/>
        <color theme="7" tint="-0.499984740745262"/>
        <rFont val="Arial"/>
        <family val="2"/>
        <charset val="186"/>
      </rPr>
      <t>5</t>
    </r>
  </si>
  <si>
    <r>
      <t xml:space="preserve">Nr.
</t>
    </r>
    <r>
      <rPr>
        <i/>
        <sz val="11"/>
        <color rgb="FF000000"/>
        <rFont val="Arial"/>
        <family val="2"/>
      </rPr>
      <t>No.</t>
    </r>
  </si>
  <si>
    <r>
      <t xml:space="preserve">Taisyklė
</t>
    </r>
    <r>
      <rPr>
        <i/>
        <sz val="11"/>
        <color rgb="FF000000"/>
        <rFont val="Arial"/>
        <family val="2"/>
      </rPr>
      <t>Rule</t>
    </r>
  </si>
  <si>
    <r>
      <t xml:space="preserve">Formulė
</t>
    </r>
    <r>
      <rPr>
        <i/>
        <sz val="11"/>
        <color rgb="FF000000"/>
        <rFont val="Arial"/>
        <family val="2"/>
      </rPr>
      <t>Formula</t>
    </r>
  </si>
  <si>
    <r>
      <t xml:space="preserve">Išvada
</t>
    </r>
    <r>
      <rPr>
        <i/>
        <sz val="11"/>
        <rFont val="Arial"/>
        <family val="2"/>
      </rPr>
      <t>Conclusion</t>
    </r>
  </si>
  <si>
    <r>
      <rPr>
        <sz val="11"/>
        <color theme="7" tint="-0.499984740745262"/>
        <rFont val="Arial"/>
        <family val="2"/>
        <charset val="186"/>
      </rPr>
      <t>A</t>
    </r>
    <r>
      <rPr>
        <vertAlign val="subscript"/>
        <sz val="11"/>
        <color theme="7" tint="-0.499984740745262"/>
        <rFont val="Arial"/>
        <family val="2"/>
        <charset val="186"/>
      </rPr>
      <t>1</t>
    </r>
  </si>
  <si>
    <r>
      <rPr>
        <sz val="11"/>
        <color theme="7" tint="-0.499984740745262"/>
        <rFont val="Arial"/>
        <family val="2"/>
        <charset val="186"/>
      </rPr>
      <t>A</t>
    </r>
    <r>
      <rPr>
        <vertAlign val="subscript"/>
        <sz val="11"/>
        <color theme="7" tint="-0.499984740745262"/>
        <rFont val="Arial"/>
        <family val="2"/>
        <charset val="186"/>
      </rPr>
      <t>2</t>
    </r>
  </si>
  <si>
    <r>
      <rPr>
        <sz val="11"/>
        <color theme="7" tint="-0.499984740745262"/>
        <rFont val="Arial"/>
        <family val="2"/>
        <charset val="186"/>
      </rPr>
      <t>A</t>
    </r>
    <r>
      <rPr>
        <vertAlign val="subscript"/>
        <sz val="11"/>
        <color theme="7" tint="-0.499984740745262"/>
        <rFont val="Arial"/>
        <family val="2"/>
        <charset val="186"/>
      </rPr>
      <t>3</t>
    </r>
  </si>
  <si>
    <r>
      <rPr>
        <sz val="11"/>
        <color theme="7" tint="-0.499984740745262"/>
        <rFont val="Arial"/>
        <family val="2"/>
        <charset val="186"/>
      </rPr>
      <t>A</t>
    </r>
    <r>
      <rPr>
        <vertAlign val="subscript"/>
        <sz val="11"/>
        <color theme="7" tint="-0.499984740745262"/>
        <rFont val="Arial"/>
        <family val="2"/>
        <charset val="186"/>
      </rPr>
      <t>4</t>
    </r>
  </si>
  <si>
    <r>
      <rPr>
        <sz val="11"/>
        <color theme="7" tint="-0.499984740745262"/>
        <rFont val="Arial"/>
        <family val="2"/>
        <charset val="186"/>
      </rPr>
      <t>A</t>
    </r>
    <r>
      <rPr>
        <vertAlign val="subscript"/>
        <sz val="11"/>
        <color theme="7" tint="-0.499984740745262"/>
        <rFont val="Arial"/>
        <family val="2"/>
        <charset val="186"/>
      </rPr>
      <t>5</t>
    </r>
  </si>
  <si>
    <r>
      <t>T</t>
    </r>
    <r>
      <rPr>
        <vertAlign val="subscript"/>
        <sz val="11"/>
        <color theme="7" tint="-0.499984740745262"/>
        <rFont val="Arial"/>
        <family val="2"/>
        <charset val="186"/>
      </rPr>
      <t>1</t>
    </r>
  </si>
  <si>
    <r>
      <t>S</t>
    </r>
    <r>
      <rPr>
        <vertAlign val="subscript"/>
        <sz val="11"/>
        <color theme="7" tint="-0.499984740745262"/>
        <rFont val="Arial"/>
        <family val="2"/>
        <charset val="186"/>
      </rPr>
      <t>1</t>
    </r>
  </si>
  <si>
    <r>
      <t>S</t>
    </r>
    <r>
      <rPr>
        <vertAlign val="subscript"/>
        <sz val="11"/>
        <color theme="7" tint="-0.499984740745262"/>
        <rFont val="Arial"/>
        <family val="2"/>
        <charset val="186"/>
      </rPr>
      <t>2</t>
    </r>
    <r>
      <rPr>
        <sz val="11"/>
        <color theme="1"/>
        <rFont val="Calibri"/>
        <family val="2"/>
        <charset val="186"/>
        <scheme val="minor"/>
      </rPr>
      <t/>
    </r>
  </si>
  <si>
    <r>
      <t>S</t>
    </r>
    <r>
      <rPr>
        <vertAlign val="subscript"/>
        <sz val="11"/>
        <color theme="7" tint="-0.499984740745262"/>
        <rFont val="Arial"/>
        <family val="2"/>
        <charset val="186"/>
      </rPr>
      <t>3</t>
    </r>
    <r>
      <rPr>
        <sz val="11"/>
        <color theme="1"/>
        <rFont val="Calibri"/>
        <family val="2"/>
        <charset val="186"/>
        <scheme val="minor"/>
      </rPr>
      <t/>
    </r>
  </si>
  <si>
    <r>
      <t>S</t>
    </r>
    <r>
      <rPr>
        <vertAlign val="subscript"/>
        <sz val="11"/>
        <color theme="7" tint="-0.499984740745262"/>
        <rFont val="Arial"/>
        <family val="2"/>
        <charset val="186"/>
      </rPr>
      <t>4</t>
    </r>
    <r>
      <rPr>
        <sz val="11"/>
        <color theme="1"/>
        <rFont val="Calibri"/>
        <family val="2"/>
        <charset val="186"/>
        <scheme val="minor"/>
      </rPr>
      <t/>
    </r>
  </si>
  <si>
    <t>t+3</t>
  </si>
  <si>
    <t>t+4</t>
  </si>
  <si>
    <t>2022K1-2022K4</t>
  </si>
  <si>
    <t>2023 m. pavasario ERS</t>
  </si>
  <si>
    <t>2022 m. žiemos ERS</t>
  </si>
  <si>
    <t>2022 m. rudens EK projekcijos</t>
  </si>
  <si>
    <t>3. ISTORINIS TAISYKLIŲ LAIKYMASIS / HISTORICAL ADHERENCE TO RULES</t>
  </si>
  <si>
    <t>7. Istorinis taisyklių laikymasis / Historical adherence to fiscal rules</t>
  </si>
  <si>
    <r>
      <t xml:space="preserve">7. Istorinis taisyklių laikymasis
</t>
    </r>
    <r>
      <rPr>
        <b/>
        <i/>
        <sz val="11"/>
        <color theme="7" tint="-0.499984740745262"/>
        <rFont val="Arial"/>
        <family val="2"/>
        <charset val="186"/>
      </rPr>
      <t>Historical adherence to fiscal rules</t>
    </r>
    <r>
      <rPr>
        <b/>
        <sz val="11"/>
        <color theme="7" tint="-0.499984740745262"/>
        <rFont val="Arial"/>
        <family val="2"/>
        <charset val="186"/>
      </rPr>
      <t xml:space="preserve">
</t>
    </r>
  </si>
  <si>
    <r>
      <t xml:space="preserve">Taisyklė
</t>
    </r>
    <r>
      <rPr>
        <i/>
        <sz val="11"/>
        <color rgb="FF000000"/>
        <rFont val="Arial"/>
        <family val="2"/>
        <charset val="186"/>
      </rPr>
      <t>Rule</t>
    </r>
  </si>
  <si>
    <t>ex-ante</t>
  </si>
  <si>
    <t>interim</t>
  </si>
  <si>
    <t>ex-post</t>
  </si>
  <si>
    <t>IFI</t>
  </si>
  <si>
    <t>Surplus GG sector rule</t>
  </si>
  <si>
    <t>GG expenditure growth limiting rule</t>
  </si>
  <si>
    <t>Atotrūkis nuo potencialo, proc. pot. BVP</t>
  </si>
  <si>
    <t>Output gap (OG), % pot. GDP</t>
  </si>
  <si>
    <t>VS išlaidų augimo ribojimo taisyklė</t>
  </si>
  <si>
    <t>Perteklinio VS taisyklė</t>
  </si>
  <si>
    <t>taisyklės laikėsi</t>
  </si>
  <si>
    <t>taisyklės nesilaikė</t>
  </si>
  <si>
    <t>taisyklė netaikoma</t>
  </si>
  <si>
    <t>the rule was adhered to</t>
  </si>
  <si>
    <t>the rule was not adhered to</t>
  </si>
  <si>
    <t>the rule was not applicable</t>
  </si>
  <si>
    <t xml:space="preserve">interim </t>
  </si>
  <si>
    <t xml:space="preserve">ex-post </t>
  </si>
  <si>
    <t xml:space="preserve">ex-ante </t>
  </si>
  <si>
    <t>nevertinama</t>
  </si>
  <si>
    <t>–</t>
  </si>
  <si>
    <t>the rule is not assessed</t>
  </si>
  <si>
    <r>
      <t xml:space="preserve">Institucija
</t>
    </r>
    <r>
      <rPr>
        <i/>
        <sz val="10"/>
        <color rgb="FF000000"/>
        <rFont val="Arial"/>
        <family val="2"/>
        <charset val="186"/>
      </rPr>
      <t>Institution</t>
    </r>
  </si>
  <si>
    <t>Vertinimo data
Date of asessment</t>
  </si>
  <si>
    <t>2023 pavasario ERS duomenys</t>
  </si>
  <si>
    <t>2023-05-08 BPE–2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</si>
</sst>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0.0"/>
    <numFmt numFmtId="165" formatCode="yyyy\-mm\-dd;@"/>
    <numFmt numFmtId="166" formatCode="0.0"/>
    <numFmt numFmtId="167" formatCode="0.00;\ \–0.00"/>
    <numFmt numFmtId="168" formatCode="0.000;\ \–0.000"/>
    <numFmt numFmtId="169" formatCode="0.000"/>
    <numFmt numFmtId="170" formatCode="0\,0;\–0\,0"/>
    <numFmt numFmtId="171" formatCode="0.00000"/>
    <numFmt numFmtId="172" formatCode="0.0;\–0.0"/>
    <numFmt numFmtId="173" formatCode="0;\ \–0"/>
    <numFmt numFmtId="174" formatCode="_-* #,##0.00\ _€_-;\-* #,##0.00\ _€_-;_-* &quot;-&quot;??\ _€_-;_-@_-"/>
    <numFmt numFmtId="175" formatCode="_-* #,##0.00\ _L_t_-;\-* #,##0.00\ _L_t_-;_-* &quot;-&quot;??\ _L_t_-;_-@_-"/>
  </numFmts>
  <fonts count="93">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sz val="8"/>
      <color rgb="FFFF0000"/>
      <name val="Arial"/>
      <family val="2"/>
      <charset val="186"/>
    </font>
    <font>
      <sz val="11"/>
      <color rgb="FF000000"/>
      <name val="Calibri"/>
      <family val="2"/>
      <charset val="186"/>
    </font>
    <font>
      <sz val="10"/>
      <color rgb="FF00244D"/>
      <name val="Arial"/>
      <family val="2"/>
      <charset val="186"/>
    </font>
    <font>
      <sz val="11"/>
      <name val="Calibri Light"/>
      <family val="2"/>
      <charset val="186"/>
      <scheme val="major"/>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8"/>
      <color rgb="FF000000"/>
      <name val="Arial"/>
      <family val="2"/>
      <charset val="186"/>
    </font>
    <font>
      <sz val="11"/>
      <color theme="7" tint="-0.499984740745262"/>
      <name val="Arial"/>
      <family val="2"/>
      <charset val="186"/>
    </font>
    <font>
      <sz val="12"/>
      <color theme="7" tint="-0.499984740745262"/>
      <name val="Arial"/>
      <family val="2"/>
      <charset val="186"/>
    </font>
    <font>
      <sz val="14"/>
      <color theme="7" tint="-0.499984740745262"/>
      <name val="Arial"/>
      <family val="2"/>
      <charset val="186"/>
    </font>
    <font>
      <i/>
      <sz val="11"/>
      <color theme="7" tint="-0.499984740745262"/>
      <name val="Arial"/>
      <family val="2"/>
      <charset val="186"/>
    </font>
    <font>
      <i/>
      <sz val="12"/>
      <color theme="7" tint="-0.499984740745262"/>
      <name val="Arial"/>
      <family val="2"/>
      <charset val="186"/>
    </font>
    <font>
      <u/>
      <sz val="11"/>
      <color theme="7" tint="-0.499984740745262"/>
      <name val="Arial"/>
      <family val="2"/>
      <charset val="186"/>
    </font>
    <font>
      <i/>
      <u/>
      <sz val="11"/>
      <color theme="7" tint="-0.499984740745262"/>
      <name val="Arial"/>
      <family val="2"/>
      <charset val="186"/>
    </font>
    <font>
      <b/>
      <sz val="11"/>
      <color theme="7" tint="-0.499984740745262"/>
      <name val="Arial"/>
      <family val="2"/>
      <charset val="186"/>
    </font>
    <font>
      <b/>
      <i/>
      <sz val="11"/>
      <color theme="7" tint="-0.499984740745262"/>
      <name val="Arial"/>
      <family val="2"/>
      <charset val="186"/>
    </font>
    <font>
      <b/>
      <vertAlign val="subscript"/>
      <sz val="11"/>
      <color theme="7" tint="-0.499984740745262"/>
      <name val="Arial"/>
      <family val="2"/>
      <charset val="186"/>
    </font>
    <font>
      <sz val="10"/>
      <color theme="7" tint="-0.499984740745262"/>
      <name val="Arial"/>
      <family val="2"/>
      <charset val="186"/>
    </font>
    <font>
      <i/>
      <sz val="10"/>
      <color theme="7" tint="-0.499984740745262"/>
      <name val="Arial"/>
      <family val="2"/>
      <charset val="186"/>
    </font>
    <font>
      <vertAlign val="subscript"/>
      <sz val="11"/>
      <color theme="7" tint="-0.499984740745262"/>
      <name val="Arial"/>
      <family val="2"/>
      <charset val="186"/>
    </font>
    <font>
      <sz val="11"/>
      <color rgb="FF000000"/>
      <name val="Arial"/>
      <family val="2"/>
    </font>
    <font>
      <i/>
      <sz val="11"/>
      <color rgb="FF000000"/>
      <name val="Arial"/>
      <family val="2"/>
    </font>
    <font>
      <sz val="11"/>
      <name val="Arial"/>
      <family val="2"/>
    </font>
    <font>
      <i/>
      <sz val="11"/>
      <name val="Arial"/>
      <family val="2"/>
    </font>
    <font>
      <sz val="8"/>
      <name val="Calibri"/>
      <family val="2"/>
      <charset val="186"/>
      <scheme val="minor"/>
    </font>
    <font>
      <i/>
      <sz val="10"/>
      <color theme="9" tint="-0.499984740745262"/>
      <name val="Arial"/>
      <family val="2"/>
      <charset val="186"/>
    </font>
    <font>
      <sz val="11"/>
      <color theme="2" tint="-0.499984740745262"/>
      <name val="Arial"/>
      <family val="2"/>
      <charset val="186"/>
    </font>
    <font>
      <sz val="11"/>
      <color theme="1"/>
      <name val="Calibri"/>
      <family val="2"/>
      <scheme val="minor"/>
    </font>
    <font>
      <u/>
      <sz val="11"/>
      <color theme="10"/>
      <name val="Calibri"/>
      <family val="2"/>
      <charset val="186"/>
    </font>
    <font>
      <sz val="11"/>
      <color indexed="8"/>
      <name val="Calibri"/>
      <family val="2"/>
    </font>
    <font>
      <sz val="10"/>
      <color indexed="8"/>
      <name val="Arial"/>
      <family val="2"/>
      <charset val="186"/>
    </font>
    <font>
      <sz val="10"/>
      <name val="HelveticaLT"/>
      <charset val="186"/>
    </font>
    <font>
      <sz val="11"/>
      <color rgb="FF000000"/>
      <name val="Calibri"/>
      <family val="2"/>
      <scheme val="minor"/>
    </font>
    <font>
      <sz val="10"/>
      <color indexed="8"/>
      <name val="Arial"/>
      <family val="2"/>
    </font>
    <font>
      <sz val="10"/>
      <color indexed="9"/>
      <name val="Arial"/>
      <family val="2"/>
    </font>
    <font>
      <sz val="11"/>
      <color indexed="9"/>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u/>
      <sz val="9"/>
      <color theme="10"/>
      <name val="Arial"/>
      <family val="2"/>
      <charset val="186"/>
    </font>
    <font>
      <sz val="10"/>
      <name val="Helv"/>
    </font>
    <font>
      <b/>
      <sz val="10"/>
      <color theme="7" tint="-0.499984740745262"/>
      <name val="Arial"/>
      <family val="2"/>
      <charset val="186"/>
    </font>
    <font>
      <b/>
      <i/>
      <sz val="10"/>
      <color theme="7" tint="-0.499984740745262"/>
      <name val="Arial"/>
      <family val="2"/>
      <charset val="186"/>
    </font>
    <font>
      <sz val="10"/>
      <color rgb="FF000000"/>
      <name val="Arial"/>
      <family val="2"/>
      <charset val="186"/>
    </font>
    <font>
      <i/>
      <sz val="10"/>
      <color rgb="FF000000"/>
      <name val="Arial"/>
      <family val="2"/>
      <charset val="186"/>
    </font>
    <font>
      <sz val="11"/>
      <color rgb="FFC9D6D9"/>
      <name val="Arial"/>
      <family val="2"/>
      <charset val="186"/>
    </font>
    <font>
      <i/>
      <sz val="9"/>
      <color rgb="FFFF0000"/>
      <name val="Arial"/>
      <family val="2"/>
      <charset val="186"/>
    </font>
    <font>
      <sz val="9"/>
      <color rgb="FF000000"/>
      <name val="Arial"/>
      <family val="2"/>
      <charset val="186"/>
    </font>
    <font>
      <sz val="9"/>
      <name val="Arial"/>
      <family val="2"/>
      <charset val="186"/>
    </font>
  </fonts>
  <fills count="5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59999389629810485"/>
        <bgColor rgb="FF000000"/>
      </patternFill>
    </fill>
    <fill>
      <patternFill patternType="solid">
        <fgColor theme="9" tint="0.39997558519241921"/>
        <bgColor rgb="FF000000"/>
      </patternFill>
    </fill>
    <fill>
      <patternFill patternType="solid">
        <fgColor theme="7" tint="0.59999389629810485"/>
        <bgColor indexed="64"/>
      </patternFill>
    </fill>
    <fill>
      <patternFill patternType="solid">
        <fgColor theme="2" tint="0.39997558519241921"/>
        <bgColor rgb="FF000000"/>
      </patternFill>
    </fill>
    <fill>
      <patternFill patternType="solid">
        <fgColor theme="2" tint="-0.499984740745262"/>
        <bgColor indexed="6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tint="-0.14999847407452621"/>
        <bgColor indexed="64"/>
      </patternFill>
    </fill>
    <fill>
      <patternFill patternType="solid">
        <fgColor theme="9" tint="-0.249977111117893"/>
        <bgColor indexed="64"/>
      </patternFill>
    </fill>
  </fills>
  <borders count="98">
    <border>
      <left/>
      <right/>
      <top/>
      <bottom/>
      <diagonal/>
    </border>
    <border>
      <left/>
      <right/>
      <top style="medium">
        <color rgb="FF00244D"/>
      </top>
      <bottom/>
      <diagonal/>
    </border>
    <border>
      <left style="medium">
        <color rgb="FF00244D"/>
      </left>
      <right/>
      <top/>
      <bottom/>
      <diagonal/>
    </border>
    <border>
      <left/>
      <right style="medium">
        <color rgb="FF00244D"/>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00244D"/>
      </right>
      <top/>
      <bottom/>
      <diagonal/>
    </border>
    <border>
      <left/>
      <right/>
      <top/>
      <bottom style="thin">
        <color rgb="FF00244D"/>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rgb="FF00244D"/>
      </bottom>
      <diagonal/>
    </border>
    <border>
      <left/>
      <right/>
      <top style="medium">
        <color theme="7"/>
      </top>
      <bottom style="medium">
        <color rgb="FF00244D"/>
      </bottom>
      <diagonal/>
    </border>
    <border>
      <left/>
      <right style="medium">
        <color theme="7"/>
      </right>
      <top style="medium">
        <color theme="7"/>
      </top>
      <bottom style="medium">
        <color rgb="FF00244D"/>
      </bottom>
      <diagonal/>
    </border>
    <border>
      <left style="medium">
        <color theme="7"/>
      </left>
      <right/>
      <top style="medium">
        <color rgb="FF00244D"/>
      </top>
      <bottom/>
      <diagonal/>
    </border>
    <border>
      <left/>
      <right style="medium">
        <color theme="7"/>
      </right>
      <top style="medium">
        <color rgb="FF00244D"/>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medium">
        <color theme="7"/>
      </right>
      <top style="medium">
        <color rgb="FF00244D"/>
      </top>
      <bottom style="medium">
        <color theme="7"/>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medium">
        <color theme="7"/>
      </left>
      <right style="medium">
        <color theme="7"/>
      </right>
      <top/>
      <bottom/>
      <diagonal/>
    </border>
    <border>
      <left style="medium">
        <color theme="7"/>
      </left>
      <right style="medium">
        <color theme="7"/>
      </right>
      <top style="medium">
        <color theme="7"/>
      </top>
      <bottom style="medium">
        <color rgb="FF00244D"/>
      </bottom>
      <diagonal/>
    </border>
    <border>
      <left style="medium">
        <color theme="7"/>
      </left>
      <right style="medium">
        <color theme="7"/>
      </right>
      <top style="medium">
        <color rgb="FF00244D"/>
      </top>
      <bottom style="medium">
        <color rgb="FF00244D"/>
      </bottom>
      <diagonal/>
    </border>
    <border>
      <left style="medium">
        <color theme="7"/>
      </left>
      <right/>
      <top style="medium">
        <color theme="7"/>
      </top>
      <bottom/>
      <diagonal/>
    </border>
    <border>
      <left/>
      <right style="medium">
        <color theme="7"/>
      </right>
      <top style="medium">
        <color theme="7"/>
      </top>
      <bottom/>
      <diagonal/>
    </border>
    <border>
      <left style="thick">
        <color theme="7"/>
      </left>
      <right style="thick">
        <color theme="7"/>
      </right>
      <top style="thick">
        <color theme="7"/>
      </top>
      <bottom style="thick">
        <color theme="7"/>
      </bottom>
      <diagonal/>
    </border>
    <border>
      <left style="thick">
        <color theme="7"/>
      </left>
      <right style="medium">
        <color rgb="FF00244D"/>
      </right>
      <top style="thick">
        <color theme="7"/>
      </top>
      <bottom/>
      <diagonal/>
    </border>
    <border>
      <left style="medium">
        <color rgb="FF00244D"/>
      </left>
      <right style="medium">
        <color rgb="FF00244D"/>
      </right>
      <top style="thick">
        <color theme="7"/>
      </top>
      <bottom/>
      <diagonal/>
    </border>
    <border>
      <left style="medium">
        <color rgb="FF00244D"/>
      </left>
      <right style="thick">
        <color theme="7"/>
      </right>
      <top style="thick">
        <color theme="7"/>
      </top>
      <bottom/>
      <diagonal/>
    </border>
    <border>
      <left style="thick">
        <color theme="7"/>
      </left>
      <right style="medium">
        <color theme="7"/>
      </right>
      <top style="medium">
        <color theme="7"/>
      </top>
      <bottom style="medium">
        <color theme="7"/>
      </bottom>
      <diagonal/>
    </border>
    <border>
      <left style="medium">
        <color theme="7"/>
      </left>
      <right style="thick">
        <color theme="7"/>
      </right>
      <top style="medium">
        <color theme="7"/>
      </top>
      <bottom style="medium">
        <color theme="7"/>
      </bottom>
      <diagonal/>
    </border>
    <border>
      <left style="thick">
        <color theme="7"/>
      </left>
      <right style="medium">
        <color theme="7"/>
      </right>
      <top style="medium">
        <color theme="7"/>
      </top>
      <bottom/>
      <diagonal/>
    </border>
    <border>
      <left style="medium">
        <color theme="7"/>
      </left>
      <right style="thick">
        <color theme="7"/>
      </right>
      <top style="medium">
        <color theme="7"/>
      </top>
      <bottom/>
      <diagonal/>
    </border>
    <border>
      <left style="thick">
        <color theme="7"/>
      </left>
      <right style="medium">
        <color theme="7"/>
      </right>
      <top/>
      <bottom style="medium">
        <color theme="7"/>
      </bottom>
      <diagonal/>
    </border>
    <border>
      <left style="medium">
        <color theme="7"/>
      </left>
      <right style="thick">
        <color theme="7"/>
      </right>
      <top/>
      <bottom style="medium">
        <color theme="7"/>
      </bottom>
      <diagonal/>
    </border>
    <border>
      <left style="thick">
        <color theme="7"/>
      </left>
      <right style="medium">
        <color theme="7"/>
      </right>
      <top/>
      <bottom/>
      <diagonal/>
    </border>
    <border>
      <left style="medium">
        <color theme="7"/>
      </left>
      <right style="thick">
        <color theme="7"/>
      </right>
      <top/>
      <bottom/>
      <diagonal/>
    </border>
    <border>
      <left style="thick">
        <color theme="7"/>
      </left>
      <right style="medium">
        <color theme="7"/>
      </right>
      <top/>
      <bottom style="thick">
        <color theme="7"/>
      </bottom>
      <diagonal/>
    </border>
    <border>
      <left style="medium">
        <color theme="7"/>
      </left>
      <right style="medium">
        <color theme="7"/>
      </right>
      <top/>
      <bottom style="thick">
        <color theme="7"/>
      </bottom>
      <diagonal/>
    </border>
    <border>
      <left style="medium">
        <color theme="7"/>
      </left>
      <right style="thick">
        <color theme="7"/>
      </right>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medium">
        <color theme="7"/>
      </right>
      <top style="medium">
        <color theme="7"/>
      </top>
      <bottom style="thick">
        <color theme="7"/>
      </bottom>
      <diagonal/>
    </border>
    <border>
      <left style="medium">
        <color theme="7"/>
      </left>
      <right style="medium">
        <color theme="7"/>
      </right>
      <top style="medium">
        <color theme="7"/>
      </top>
      <bottom style="thick">
        <color theme="7"/>
      </bottom>
      <diagonal/>
    </border>
    <border>
      <left style="medium">
        <color theme="7"/>
      </left>
      <right style="thick">
        <color theme="7"/>
      </right>
      <top style="medium">
        <color theme="7"/>
      </top>
      <bottom style="thick">
        <color theme="7"/>
      </bottom>
      <diagonal/>
    </border>
    <border>
      <left style="thick">
        <color theme="7"/>
      </left>
      <right style="medium">
        <color rgb="FF00244D"/>
      </right>
      <top style="thick">
        <color theme="7"/>
      </top>
      <bottom style="medium">
        <color theme="7"/>
      </bottom>
      <diagonal/>
    </border>
    <border>
      <left style="medium">
        <color rgb="FF00244D"/>
      </left>
      <right style="medium">
        <color rgb="FF00244D"/>
      </right>
      <top style="thick">
        <color theme="7"/>
      </top>
      <bottom style="medium">
        <color theme="7"/>
      </bottom>
      <diagonal/>
    </border>
    <border>
      <left style="medium">
        <color rgb="FF00244D"/>
      </left>
      <right style="thick">
        <color theme="7"/>
      </right>
      <top style="thick">
        <color theme="7"/>
      </top>
      <bottom style="medium">
        <color theme="7"/>
      </bottom>
      <diagonal/>
    </border>
    <border>
      <left style="thick">
        <color theme="7"/>
      </left>
      <right/>
      <top/>
      <bottom/>
      <diagonal/>
    </border>
    <border>
      <left/>
      <right style="thick">
        <color theme="7"/>
      </right>
      <top/>
      <bottom/>
      <diagonal/>
    </border>
    <border>
      <left style="thick">
        <color theme="7"/>
      </left>
      <right style="medium">
        <color theme="7"/>
      </right>
      <top style="medium">
        <color theme="7"/>
      </top>
      <bottom style="medium">
        <color rgb="FF00244D"/>
      </bottom>
      <diagonal/>
    </border>
    <border>
      <left style="thick">
        <color theme="7"/>
      </left>
      <right style="medium">
        <color theme="7"/>
      </right>
      <top style="medium">
        <color rgb="FF00244D"/>
      </top>
      <bottom/>
      <diagonal/>
    </border>
    <border>
      <left style="thick">
        <color theme="7"/>
      </left>
      <right style="medium">
        <color theme="7"/>
      </right>
      <top/>
      <bottom style="medium">
        <color rgb="FF00244D"/>
      </bottom>
      <diagonal/>
    </border>
    <border>
      <left style="thick">
        <color theme="7"/>
      </left>
      <right style="medium">
        <color theme="7"/>
      </right>
      <top style="medium">
        <color rgb="FF00244D"/>
      </top>
      <bottom style="medium">
        <color theme="7"/>
      </bottom>
      <diagonal/>
    </border>
    <border>
      <left style="thick">
        <color theme="7"/>
      </left>
      <right style="medium">
        <color rgb="FF00244D"/>
      </right>
      <top/>
      <bottom/>
      <diagonal/>
    </border>
    <border>
      <left style="medium">
        <color rgb="FF00244D"/>
      </left>
      <right style="thick">
        <color theme="7"/>
      </right>
      <top/>
      <bottom/>
      <diagonal/>
    </border>
    <border>
      <left style="thick">
        <color theme="7"/>
      </left>
      <right style="medium">
        <color theme="7"/>
      </right>
      <top style="medium">
        <color rgb="FF00244D"/>
      </top>
      <bottom style="medium">
        <color rgb="FF00244D"/>
      </bottom>
      <diagonal/>
    </border>
    <border>
      <left/>
      <right style="thick">
        <color theme="7"/>
      </right>
      <top style="medium">
        <color theme="7"/>
      </top>
      <bottom/>
      <diagonal/>
    </border>
    <border>
      <left/>
      <right style="thick">
        <color theme="7"/>
      </right>
      <top/>
      <bottom style="medium">
        <color theme="7"/>
      </bottom>
      <diagonal/>
    </border>
    <border>
      <left/>
      <right/>
      <top/>
      <bottom style="thick">
        <color theme="7"/>
      </bottom>
      <diagonal/>
    </border>
    <border>
      <left style="medium">
        <color theme="7"/>
      </left>
      <right/>
      <top/>
      <bottom style="thick">
        <color theme="7"/>
      </bottom>
      <diagonal/>
    </border>
    <border>
      <left/>
      <right style="medium">
        <color theme="7"/>
      </right>
      <top/>
      <bottom style="thick">
        <color theme="7"/>
      </bottom>
      <diagonal/>
    </border>
    <border>
      <left/>
      <right style="thick">
        <color theme="7"/>
      </right>
      <top/>
      <bottom style="thick">
        <color theme="7"/>
      </bottom>
      <diagonal/>
    </border>
    <border>
      <left style="thick">
        <color theme="7"/>
      </left>
      <right style="medium">
        <color theme="7"/>
      </right>
      <top style="medium">
        <color rgb="FF00244D"/>
      </top>
      <bottom style="thick">
        <color theme="7"/>
      </bottom>
      <diagonal/>
    </border>
    <border>
      <left/>
      <right style="medium">
        <color rgb="FF00244D"/>
      </right>
      <top/>
      <bottom style="thick">
        <color theme="7"/>
      </bottom>
      <diagonal/>
    </border>
    <border>
      <left style="medium">
        <color rgb="FF00244D"/>
      </left>
      <right/>
      <top/>
      <bottom style="thick">
        <color theme="7"/>
      </bottom>
      <diagonal/>
    </border>
    <border>
      <left style="thick">
        <color theme="7"/>
      </left>
      <right/>
      <top style="medium">
        <color theme="7"/>
      </top>
      <bottom style="thick">
        <color theme="7"/>
      </bottom>
      <diagonal/>
    </border>
    <border>
      <left style="thick">
        <color theme="7"/>
      </left>
      <right/>
      <top style="thick">
        <color theme="7"/>
      </top>
      <bottom style="medium">
        <color theme="7"/>
      </bottom>
      <diagonal/>
    </border>
    <border>
      <left/>
      <right style="thick">
        <color theme="7"/>
      </right>
      <top style="thick">
        <color theme="7"/>
      </top>
      <bottom style="medium">
        <color theme="7"/>
      </bottom>
      <diagonal/>
    </border>
    <border>
      <left/>
      <right style="thick">
        <color theme="7"/>
      </right>
      <top style="medium">
        <color theme="7"/>
      </top>
      <bottom style="thick">
        <color theme="7"/>
      </bottom>
      <diagonal/>
    </border>
    <border>
      <left style="thick">
        <color theme="7"/>
      </left>
      <right style="thick">
        <color theme="7"/>
      </right>
      <top style="thick">
        <color theme="7"/>
      </top>
      <bottom style="medium">
        <color theme="7"/>
      </bottom>
      <diagonal/>
    </border>
    <border>
      <left style="thick">
        <color theme="7"/>
      </left>
      <right style="thick">
        <color theme="7"/>
      </right>
      <top style="medium">
        <color theme="7"/>
      </top>
      <bottom style="thick">
        <color theme="7"/>
      </bottom>
      <diagonal/>
    </border>
    <border>
      <left style="thick">
        <color theme="7"/>
      </left>
      <right style="thick">
        <color theme="7"/>
      </right>
      <top style="medium">
        <color theme="7"/>
      </top>
      <bottom style="medium">
        <color theme="7"/>
      </bottom>
      <diagonal/>
    </border>
    <border>
      <left style="thick">
        <color theme="7"/>
      </left>
      <right/>
      <top style="medium">
        <color theme="7"/>
      </top>
      <bottom/>
      <diagonal/>
    </border>
    <border>
      <left style="thick">
        <color theme="7"/>
      </left>
      <right/>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medium">
        <color theme="7"/>
      </left>
      <right style="medium">
        <color rgb="FF00244D"/>
      </right>
      <top style="medium">
        <color theme="7"/>
      </top>
      <bottom style="medium">
        <color theme="7"/>
      </bottom>
      <diagonal/>
    </border>
    <border>
      <left style="medium">
        <color rgb="FF00244D"/>
      </left>
      <right style="medium">
        <color theme="7"/>
      </right>
      <top style="medium">
        <color theme="7"/>
      </top>
      <bottom style="medium">
        <color theme="7"/>
      </bottom>
      <diagonal/>
    </border>
    <border>
      <left/>
      <right/>
      <top style="medium">
        <color theme="7"/>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double">
        <color indexed="48"/>
      </bottom>
      <diagonal/>
    </border>
  </borders>
  <cellStyleXfs count="168">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8" fillId="0" borderId="0"/>
    <xf numFmtId="0" fontId="53" fillId="0" borderId="0"/>
    <xf numFmtId="0" fontId="8" fillId="0" borderId="0"/>
    <xf numFmtId="0" fontId="1" fillId="0" borderId="0"/>
    <xf numFmtId="0" fontId="54" fillId="0" borderId="0" applyNumberFormat="0" applyFill="0" applyBorder="0" applyAlignment="0" applyProtection="0">
      <alignment vertical="top"/>
      <protection locked="0"/>
    </xf>
    <xf numFmtId="0" fontId="55" fillId="0" borderId="0"/>
    <xf numFmtId="0" fontId="9" fillId="0" borderId="0"/>
    <xf numFmtId="0" fontId="9" fillId="0" borderId="0"/>
    <xf numFmtId="174" fontId="1" fillId="0" borderId="0" applyFont="0" applyFill="0" applyBorder="0" applyAlignment="0" applyProtection="0"/>
    <xf numFmtId="0" fontId="55" fillId="0" borderId="0"/>
    <xf numFmtId="0" fontId="53" fillId="0" borderId="0"/>
    <xf numFmtId="0" fontId="53" fillId="0" borderId="0"/>
    <xf numFmtId="9" fontId="1" fillId="0" borderId="0" applyFont="0" applyFill="0" applyBorder="0" applyAlignment="0" applyProtection="0"/>
    <xf numFmtId="174" fontId="1" fillId="0" borderId="0" applyFont="0" applyFill="0" applyBorder="0" applyAlignment="0" applyProtection="0"/>
    <xf numFmtId="0" fontId="53" fillId="0" borderId="0"/>
    <xf numFmtId="0" fontId="1" fillId="0" borderId="0"/>
    <xf numFmtId="0" fontId="9" fillId="0" borderId="0"/>
    <xf numFmtId="0" fontId="9" fillId="0" borderId="0"/>
    <xf numFmtId="0" fontId="9" fillId="0" borderId="0"/>
    <xf numFmtId="0" fontId="1" fillId="0" borderId="0"/>
    <xf numFmtId="0" fontId="1" fillId="0" borderId="0"/>
    <xf numFmtId="174" fontId="1" fillId="0" borderId="0" applyFont="0" applyFill="0" applyBorder="0" applyAlignment="0" applyProtection="0"/>
    <xf numFmtId="0" fontId="57" fillId="0" borderId="0"/>
    <xf numFmtId="174" fontId="1" fillId="0" borderId="0" applyFont="0" applyFill="0" applyBorder="0" applyAlignment="0" applyProtection="0"/>
    <xf numFmtId="0" fontId="58" fillId="0" borderId="0"/>
    <xf numFmtId="0" fontId="9" fillId="0" borderId="0"/>
    <xf numFmtId="0" fontId="9" fillId="0" borderId="0"/>
    <xf numFmtId="174" fontId="9" fillId="0" borderId="0" applyFont="0" applyFill="0" applyBorder="0" applyAlignment="0" applyProtection="0"/>
    <xf numFmtId="0" fontId="59" fillId="12"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3" borderId="0" applyNumberFormat="0" applyBorder="0" applyAlignment="0" applyProtection="0"/>
    <xf numFmtId="0" fontId="59" fillId="19" borderId="0" applyNumberFormat="0" applyBorder="0" applyAlignment="0" applyProtection="0"/>
    <xf numFmtId="0" fontId="59" fillId="20"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60" fillId="18" borderId="0" applyNumberFormat="0" applyBorder="0" applyAlignment="0" applyProtection="0"/>
    <xf numFmtId="0" fontId="60" fillId="13"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1" fillId="22" borderId="0" applyNumberFormat="0" applyBorder="0" applyAlignment="0" applyProtection="0"/>
    <xf numFmtId="0" fontId="55" fillId="23" borderId="0" applyNumberFormat="0" applyBorder="0" applyAlignment="0" applyProtection="0"/>
    <xf numFmtId="0" fontId="55" fillId="24"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61" fillId="32" borderId="0" applyNumberFormat="0" applyBorder="0" applyAlignment="0" applyProtection="0"/>
    <xf numFmtId="0" fontId="61" fillId="34" borderId="0" applyNumberFormat="0" applyBorder="0" applyAlignment="0" applyProtection="0"/>
    <xf numFmtId="0" fontId="55" fillId="23" borderId="0" applyNumberFormat="0" applyBorder="0" applyAlignment="0" applyProtection="0"/>
    <xf numFmtId="0" fontId="55" fillId="24" borderId="0" applyNumberFormat="0" applyBorder="0" applyAlignment="0" applyProtection="0"/>
    <xf numFmtId="0" fontId="61" fillId="24" borderId="0" applyNumberFormat="0" applyBorder="0" applyAlignment="0" applyProtection="0"/>
    <xf numFmtId="0" fontId="61" fillId="35" borderId="0" applyNumberFormat="0" applyBorder="0" applyAlignment="0" applyProtection="0"/>
    <xf numFmtId="0" fontId="55" fillId="36" borderId="0" applyNumberFormat="0" applyBorder="0" applyAlignment="0" applyProtection="0"/>
    <xf numFmtId="0" fontId="55" fillId="28" borderId="0" applyNumberFormat="0" applyBorder="0" applyAlignment="0" applyProtection="0"/>
    <xf numFmtId="0" fontId="61" fillId="37" borderId="0" applyNumberFormat="0" applyBorder="0" applyAlignment="0" applyProtection="0"/>
    <xf numFmtId="0" fontId="62" fillId="28" borderId="0" applyNumberFormat="0" applyBorder="0" applyAlignment="0" applyProtection="0"/>
    <xf numFmtId="0" fontId="63" fillId="38" borderId="87" applyNumberFormat="0" applyAlignment="0" applyProtection="0"/>
    <xf numFmtId="0" fontId="64" fillId="29" borderId="88" applyNumberFormat="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6" fillId="0" borderId="0" applyNumberFormat="0" applyFill="0" applyBorder="0" applyAlignment="0" applyProtection="0"/>
    <xf numFmtId="0" fontId="67" fillId="42" borderId="0" applyNumberFormat="0" applyBorder="0" applyAlignment="0" applyProtection="0"/>
    <xf numFmtId="0" fontId="68" fillId="0" borderId="89" applyNumberFormat="0" applyFill="0" applyAlignment="0" applyProtection="0"/>
    <xf numFmtId="0" fontId="69" fillId="0" borderId="90" applyNumberFormat="0" applyFill="0" applyAlignment="0" applyProtection="0"/>
    <xf numFmtId="0" fontId="70" fillId="0" borderId="91" applyNumberFormat="0" applyFill="0" applyAlignment="0" applyProtection="0"/>
    <xf numFmtId="0" fontId="70" fillId="0" borderId="0" applyNumberFormat="0" applyFill="0" applyBorder="0" applyAlignment="0" applyProtection="0"/>
    <xf numFmtId="0" fontId="71" fillId="37" borderId="87" applyNumberFormat="0" applyAlignment="0" applyProtection="0"/>
    <xf numFmtId="0" fontId="9" fillId="0" borderId="0"/>
    <xf numFmtId="0" fontId="72" fillId="0" borderId="92" applyNumberFormat="0" applyFill="0" applyAlignment="0" applyProtection="0"/>
    <xf numFmtId="0" fontId="73" fillId="37" borderId="0" applyNumberFormat="0" applyBorder="0" applyAlignment="0" applyProtection="0"/>
    <xf numFmtId="0" fontId="9" fillId="36" borderId="93" applyNumberFormat="0" applyFont="0" applyAlignment="0" applyProtection="0"/>
    <xf numFmtId="0" fontId="74" fillId="38" borderId="94" applyNumberFormat="0" applyAlignment="0" applyProtection="0"/>
    <xf numFmtId="4" fontId="75" fillId="43" borderId="95" applyNumberFormat="0" applyProtection="0">
      <alignment vertical="center"/>
    </xf>
    <xf numFmtId="4" fontId="76" fillId="43" borderId="95" applyNumberFormat="0" applyProtection="0">
      <alignment vertical="center"/>
    </xf>
    <xf numFmtId="4" fontId="75" fillId="43" borderId="95" applyNumberFormat="0" applyProtection="0">
      <alignment horizontal="left" vertical="center" indent="1"/>
    </xf>
    <xf numFmtId="0" fontId="75" fillId="43" borderId="95" applyNumberFormat="0" applyProtection="0">
      <alignment horizontal="left" vertical="top" indent="1"/>
    </xf>
    <xf numFmtId="4" fontId="75" fillId="12" borderId="0" applyNumberFormat="0" applyProtection="0">
      <alignment horizontal="left" vertical="center" indent="1"/>
    </xf>
    <xf numFmtId="4" fontId="59" fillId="17" borderId="95" applyNumberFormat="0" applyProtection="0">
      <alignment horizontal="right" vertical="center"/>
    </xf>
    <xf numFmtId="4" fontId="59" fillId="13" borderId="95" applyNumberFormat="0" applyProtection="0">
      <alignment horizontal="right" vertical="center"/>
    </xf>
    <xf numFmtId="4" fontId="59" fillId="44" borderId="95" applyNumberFormat="0" applyProtection="0">
      <alignment horizontal="right" vertical="center"/>
    </xf>
    <xf numFmtId="4" fontId="59" fillId="45" borderId="95" applyNumberFormat="0" applyProtection="0">
      <alignment horizontal="right" vertical="center"/>
    </xf>
    <xf numFmtId="4" fontId="59" fillId="46" borderId="95" applyNumberFormat="0" applyProtection="0">
      <alignment horizontal="right" vertical="center"/>
    </xf>
    <xf numFmtId="4" fontId="59" fillId="47" borderId="95" applyNumberFormat="0" applyProtection="0">
      <alignment horizontal="right" vertical="center"/>
    </xf>
    <xf numFmtId="4" fontId="59" fillId="19" borderId="95" applyNumberFormat="0" applyProtection="0">
      <alignment horizontal="right" vertical="center"/>
    </xf>
    <xf numFmtId="4" fontId="59" fillId="48" borderId="95" applyNumberFormat="0" applyProtection="0">
      <alignment horizontal="right" vertical="center"/>
    </xf>
    <xf numFmtId="4" fontId="59" fillId="49" borderId="95" applyNumberFormat="0" applyProtection="0">
      <alignment horizontal="right" vertical="center"/>
    </xf>
    <xf numFmtId="4" fontId="75" fillId="50" borderId="96" applyNumberFormat="0" applyProtection="0">
      <alignment horizontal="left" vertical="center" indent="1"/>
    </xf>
    <xf numFmtId="4" fontId="59" fillId="51" borderId="0" applyNumberFormat="0" applyProtection="0">
      <alignment horizontal="left" vertical="center" indent="1"/>
    </xf>
    <xf numFmtId="4" fontId="77" fillId="18" borderId="0" applyNumberFormat="0" applyProtection="0">
      <alignment horizontal="left" vertical="center" indent="1"/>
    </xf>
    <xf numFmtId="4" fontId="59" fillId="12" borderId="95" applyNumberFormat="0" applyProtection="0">
      <alignment horizontal="right" vertical="center"/>
    </xf>
    <xf numFmtId="4" fontId="56" fillId="51" borderId="0" applyNumberFormat="0" applyProtection="0">
      <alignment horizontal="left" vertical="center" indent="1"/>
    </xf>
    <xf numFmtId="4" fontId="56" fillId="12" borderId="0" applyNumberFormat="0" applyProtection="0">
      <alignment horizontal="left" vertical="center" indent="1"/>
    </xf>
    <xf numFmtId="0" fontId="9" fillId="18" borderId="95" applyNumberFormat="0" applyProtection="0">
      <alignment horizontal="left" vertical="center" indent="1"/>
    </xf>
    <xf numFmtId="0" fontId="9" fillId="18" borderId="95" applyNumberFormat="0" applyProtection="0">
      <alignment horizontal="left" vertical="top" indent="1"/>
    </xf>
    <xf numFmtId="0" fontId="9" fillId="12" borderId="95" applyNumberFormat="0" applyProtection="0">
      <alignment horizontal="left" vertical="center" indent="1"/>
    </xf>
    <xf numFmtId="0" fontId="9" fillId="12" borderId="95" applyNumberFormat="0" applyProtection="0">
      <alignment horizontal="left" vertical="top" indent="1"/>
    </xf>
    <xf numFmtId="0" fontId="9" fillId="16" borderId="95" applyNumberFormat="0" applyProtection="0">
      <alignment horizontal="left" vertical="center" indent="1"/>
    </xf>
    <xf numFmtId="0" fontId="9" fillId="16" borderId="95" applyNumberFormat="0" applyProtection="0">
      <alignment horizontal="left" vertical="top" indent="1"/>
    </xf>
    <xf numFmtId="0" fontId="9" fillId="51" borderId="95" applyNumberFormat="0" applyProtection="0">
      <alignment horizontal="left" vertical="center" indent="1"/>
    </xf>
    <xf numFmtId="0" fontId="9" fillId="51" borderId="95" applyNumberFormat="0" applyProtection="0">
      <alignment horizontal="left" vertical="top" indent="1"/>
    </xf>
    <xf numFmtId="0" fontId="9" fillId="15" borderId="86" applyNumberFormat="0">
      <protection locked="0"/>
    </xf>
    <xf numFmtId="4" fontId="59" fillId="14" borderId="95" applyNumberFormat="0" applyProtection="0">
      <alignment vertical="center"/>
    </xf>
    <xf numFmtId="4" fontId="78" fillId="14" borderId="95" applyNumberFormat="0" applyProtection="0">
      <alignment vertical="center"/>
    </xf>
    <xf numFmtId="4" fontId="59" fillId="14" borderId="95" applyNumberFormat="0" applyProtection="0">
      <alignment horizontal="left" vertical="center" indent="1"/>
    </xf>
    <xf numFmtId="0" fontId="59" fillId="14" borderId="95" applyNumberFormat="0" applyProtection="0">
      <alignment horizontal="left" vertical="top" indent="1"/>
    </xf>
    <xf numFmtId="4" fontId="59" fillId="51" borderId="95" applyNumberFormat="0" applyProtection="0">
      <alignment horizontal="right" vertical="center"/>
    </xf>
    <xf numFmtId="4" fontId="78" fillId="51" borderId="95" applyNumberFormat="0" applyProtection="0">
      <alignment horizontal="right" vertical="center"/>
    </xf>
    <xf numFmtId="4" fontId="59" fillId="12" borderId="95" applyNumberFormat="0" applyProtection="0">
      <alignment horizontal="left" vertical="center" indent="1"/>
    </xf>
    <xf numFmtId="0" fontId="59" fillId="12" borderId="95" applyNumberFormat="0" applyProtection="0">
      <alignment horizontal="left" vertical="top" indent="1"/>
    </xf>
    <xf numFmtId="4" fontId="79" fillId="52" borderId="0" applyNumberFormat="0" applyProtection="0">
      <alignment horizontal="left" vertical="center" indent="1"/>
    </xf>
    <xf numFmtId="4" fontId="80" fillId="51" borderId="95" applyNumberFormat="0" applyProtection="0">
      <alignment horizontal="right" vertical="center"/>
    </xf>
    <xf numFmtId="0" fontId="81" fillId="0" borderId="0" applyNumberFormat="0" applyFill="0" applyBorder="0" applyAlignment="0" applyProtection="0"/>
    <xf numFmtId="0" fontId="81" fillId="0" borderId="0" applyNumberFormat="0" applyFill="0" applyBorder="0" applyAlignment="0" applyProtection="0"/>
    <xf numFmtId="0" fontId="65" fillId="0" borderId="97" applyNumberFormat="0" applyFill="0" applyAlignment="0" applyProtection="0"/>
    <xf numFmtId="0" fontId="82"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3" fillId="0" borderId="0" applyNumberFormat="0" applyFill="0" applyBorder="0" applyAlignment="0" applyProtection="0">
      <alignment vertical="top"/>
      <protection locked="0"/>
    </xf>
    <xf numFmtId="175" fontId="1" fillId="0" borderId="0" applyFont="0" applyFill="0" applyBorder="0" applyAlignment="0" applyProtection="0"/>
    <xf numFmtId="0" fontId="9" fillId="0" borderId="0"/>
    <xf numFmtId="0" fontId="9" fillId="0" borderId="0"/>
    <xf numFmtId="0" fontId="9" fillId="0" borderId="0"/>
    <xf numFmtId="0" fontId="9" fillId="0" borderId="0"/>
    <xf numFmtId="0" fontId="84" fillId="0" borderId="0"/>
    <xf numFmtId="9" fontId="1" fillId="0" borderId="0" applyFont="0" applyFill="0" applyBorder="0" applyAlignment="0" applyProtection="0"/>
    <xf numFmtId="0" fontId="9" fillId="0" borderId="0"/>
    <xf numFmtId="174" fontId="58" fillId="0" borderId="0" applyFont="0" applyFill="0" applyBorder="0" applyAlignment="0" applyProtection="0"/>
    <xf numFmtId="0" fontId="58" fillId="0" borderId="0"/>
    <xf numFmtId="0" fontId="58" fillId="0" borderId="0"/>
    <xf numFmtId="9" fontId="1" fillId="0" borderId="0" applyFont="0" applyFill="0" applyBorder="0" applyAlignment="0" applyProtection="0"/>
    <xf numFmtId="0" fontId="53" fillId="0" borderId="0"/>
    <xf numFmtId="0" fontId="1" fillId="0" borderId="0"/>
    <xf numFmtId="174" fontId="1" fillId="0" borderId="0" applyFont="0" applyFill="0" applyBorder="0" applyAlignment="0" applyProtection="0"/>
    <xf numFmtId="0" fontId="54" fillId="0" borderId="0" applyNumberFormat="0" applyFill="0" applyBorder="0" applyAlignment="0" applyProtection="0">
      <alignment vertical="top"/>
      <protection locked="0"/>
    </xf>
    <xf numFmtId="0" fontId="55" fillId="0" borderId="0"/>
  </cellStyleXfs>
  <cellXfs count="508">
    <xf numFmtId="0" fontId="0" fillId="0" borderId="0" xfId="0"/>
    <xf numFmtId="0" fontId="3" fillId="0" borderId="0" xfId="0" applyFont="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Alignment="1">
      <alignment wrapText="1"/>
    </xf>
    <xf numFmtId="0" fontId="3" fillId="0" borderId="0" xfId="0" applyFont="1" applyAlignment="1">
      <alignment horizontal="right" indent="1"/>
    </xf>
    <xf numFmtId="0" fontId="3" fillId="0" borderId="0" xfId="0" applyFont="1" applyAlignment="1">
      <alignment horizontal="right" wrapText="1" indent="1"/>
    </xf>
    <xf numFmtId="0" fontId="5" fillId="0" borderId="0" xfId="0" applyFont="1"/>
    <xf numFmtId="0" fontId="13" fillId="0" borderId="0" xfId="0" applyFont="1"/>
    <xf numFmtId="0" fontId="8" fillId="0" borderId="0" xfId="0" applyFont="1"/>
    <xf numFmtId="166" fontId="3" fillId="0" borderId="0" xfId="0" applyNumberFormat="1" applyFont="1"/>
    <xf numFmtId="0" fontId="16" fillId="0" borderId="0" xfId="0" applyFont="1"/>
    <xf numFmtId="164" fontId="3" fillId="0" borderId="0" xfId="0" applyNumberFormat="1" applyFont="1"/>
    <xf numFmtId="0" fontId="18" fillId="0" borderId="0" xfId="0" applyFont="1"/>
    <xf numFmtId="0" fontId="19" fillId="0" borderId="0" xfId="0" applyFont="1" applyAlignment="1">
      <alignment horizontal="right" indent="1"/>
    </xf>
    <xf numFmtId="0" fontId="5" fillId="0" borderId="0" xfId="0" applyFont="1" applyAlignment="1">
      <alignment horizontal="right" indent="1"/>
    </xf>
    <xf numFmtId="2" fontId="5" fillId="0" borderId="0" xfId="0" applyNumberFormat="1" applyFont="1" applyAlignment="1">
      <alignment horizontal="center"/>
    </xf>
    <xf numFmtId="169" fontId="3" fillId="0" borderId="0" xfId="0" applyNumberFormat="1" applyFont="1"/>
    <xf numFmtId="0" fontId="3" fillId="0" borderId="0" xfId="0" applyFont="1" applyAlignment="1">
      <alignment vertical="center"/>
    </xf>
    <xf numFmtId="0" fontId="7" fillId="2" borderId="0" xfId="0" applyFont="1" applyFill="1" applyAlignment="1">
      <alignment horizontal="center" vertical="center"/>
    </xf>
    <xf numFmtId="166" fontId="3" fillId="0" borderId="0" xfId="0" applyNumberFormat="1" applyFont="1" applyAlignment="1">
      <alignment horizontal="right" indent="1"/>
    </xf>
    <xf numFmtId="0" fontId="8" fillId="2" borderId="0" xfId="0" applyFont="1" applyFill="1"/>
    <xf numFmtId="2" fontId="3" fillId="0" borderId="0" xfId="0" applyNumberFormat="1" applyFont="1"/>
    <xf numFmtId="170" fontId="3" fillId="0" borderId="0" xfId="0" applyNumberFormat="1" applyFont="1"/>
    <xf numFmtId="0" fontId="20" fillId="0" borderId="0" xfId="0" applyFont="1"/>
    <xf numFmtId="0" fontId="21" fillId="0" borderId="0" xfId="0" applyFont="1" applyAlignment="1">
      <alignment vertical="center"/>
    </xf>
    <xf numFmtId="0" fontId="3"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0" fontId="5" fillId="0" borderId="0" xfId="0" applyFont="1" applyAlignment="1">
      <alignment horizontal="left"/>
    </xf>
    <xf numFmtId="1" fontId="3" fillId="0" borderId="0" xfId="0" applyNumberFormat="1" applyFont="1"/>
    <xf numFmtId="169" fontId="16" fillId="0" borderId="0" xfId="0" applyNumberFormat="1" applyFont="1"/>
    <xf numFmtId="0" fontId="3" fillId="0" borderId="0" xfId="0" applyFont="1" applyAlignment="1">
      <alignment horizontal="left" wrapText="1"/>
    </xf>
    <xf numFmtId="0" fontId="19" fillId="0" borderId="0" xfId="0" applyFont="1"/>
    <xf numFmtId="0" fontId="3" fillId="0" borderId="0" xfId="0" applyFont="1" applyAlignment="1">
      <alignment horizontal="left"/>
    </xf>
    <xf numFmtId="167" fontId="8" fillId="0" borderId="0" xfId="0" applyNumberFormat="1" applyFont="1" applyAlignment="1">
      <alignment horizontal="center"/>
    </xf>
    <xf numFmtId="0" fontId="24" fillId="0" borderId="0" xfId="0" applyFont="1"/>
    <xf numFmtId="1" fontId="28" fillId="0" borderId="0" xfId="0" applyNumberFormat="1" applyFont="1" applyAlignment="1">
      <alignment horizontal="center"/>
    </xf>
    <xf numFmtId="0" fontId="23" fillId="0" borderId="0" xfId="0" applyFont="1"/>
    <xf numFmtId="0" fontId="3" fillId="3" borderId="0" xfId="0" applyFont="1" applyFill="1"/>
    <xf numFmtId="0" fontId="29" fillId="0" borderId="0" xfId="0" applyFont="1"/>
    <xf numFmtId="0" fontId="24" fillId="0" borderId="0" xfId="0" applyFont="1" applyAlignment="1">
      <alignment horizontal="right" indent="1"/>
    </xf>
    <xf numFmtId="0" fontId="24" fillId="0" borderId="0" xfId="0" applyFont="1" applyAlignment="1">
      <alignment horizontal="left"/>
    </xf>
    <xf numFmtId="0" fontId="30" fillId="0" borderId="0" xfId="0" applyFont="1"/>
    <xf numFmtId="0" fontId="31" fillId="0" borderId="0" xfId="1" applyFont="1" applyFill="1" applyBorder="1"/>
    <xf numFmtId="1" fontId="29" fillId="0" borderId="0" xfId="0" applyNumberFormat="1" applyFont="1" applyAlignment="1">
      <alignment horizontal="center"/>
    </xf>
    <xf numFmtId="0" fontId="9" fillId="0" borderId="0" xfId="3" applyFont="1"/>
    <xf numFmtId="166" fontId="30" fillId="0" borderId="0" xfId="0" applyNumberFormat="1" applyFont="1"/>
    <xf numFmtId="169" fontId="30" fillId="0" borderId="0" xfId="0" applyNumberFormat="1" applyFont="1"/>
    <xf numFmtId="14" fontId="30" fillId="0" borderId="0" xfId="0" applyNumberFormat="1" applyFont="1"/>
    <xf numFmtId="166" fontId="8" fillId="0" borderId="0" xfId="0" applyNumberFormat="1" applyFont="1"/>
    <xf numFmtId="0" fontId="32" fillId="0" borderId="0" xfId="0" applyFont="1"/>
    <xf numFmtId="0" fontId="2" fillId="0" borderId="0" xfId="1" applyFill="1" applyBorder="1"/>
    <xf numFmtId="0" fontId="24" fillId="0" borderId="0" xfId="0" applyFont="1" applyAlignment="1">
      <alignment horizontal="left" wrapText="1"/>
    </xf>
    <xf numFmtId="3" fontId="0" fillId="0" borderId="0" xfId="0" applyNumberFormat="1"/>
    <xf numFmtId="0" fontId="3" fillId="0" borderId="0" xfId="0" applyFont="1" applyAlignment="1">
      <alignment horizontal="left" vertical="center"/>
    </xf>
    <xf numFmtId="0" fontId="33" fillId="0" borderId="12" xfId="0" applyFont="1" applyBorder="1"/>
    <xf numFmtId="0" fontId="33" fillId="0" borderId="1" xfId="0" applyFont="1" applyBorder="1"/>
    <xf numFmtId="0" fontId="33" fillId="0" borderId="13" xfId="0" applyFont="1" applyBorder="1"/>
    <xf numFmtId="0" fontId="34" fillId="5" borderId="15" xfId="0" applyFont="1" applyFill="1" applyBorder="1" applyAlignment="1">
      <alignment horizontal="center" vertical="center"/>
    </xf>
    <xf numFmtId="0" fontId="33" fillId="0" borderId="14" xfId="0" applyFont="1" applyBorder="1"/>
    <xf numFmtId="0" fontId="33" fillId="0" borderId="0" xfId="0" applyFont="1"/>
    <xf numFmtId="0" fontId="33" fillId="0" borderId="15" xfId="0" applyFont="1" applyBorder="1"/>
    <xf numFmtId="0" fontId="35" fillId="5" borderId="15" xfId="0" applyFont="1" applyFill="1" applyBorder="1"/>
    <xf numFmtId="0" fontId="33" fillId="0" borderId="0" xfId="1" applyFont="1" applyBorder="1" applyAlignment="1" applyProtection="1">
      <alignment horizontal="justify" vertical="top" wrapText="1"/>
    </xf>
    <xf numFmtId="0" fontId="33" fillId="0" borderId="15" xfId="1" applyFont="1" applyBorder="1" applyAlignment="1" applyProtection="1">
      <alignment horizontal="justify" vertical="top" wrapText="1"/>
    </xf>
    <xf numFmtId="0" fontId="38" fillId="0" borderId="0" xfId="1" applyFont="1" applyBorder="1" applyAlignment="1" applyProtection="1">
      <alignment horizontal="left" indent="2"/>
    </xf>
    <xf numFmtId="0" fontId="38" fillId="0" borderId="0" xfId="1" applyFont="1" applyBorder="1" applyAlignment="1" applyProtection="1"/>
    <xf numFmtId="0" fontId="36" fillId="0" borderId="14" xfId="0" applyFont="1" applyBorder="1"/>
    <xf numFmtId="0" fontId="39" fillId="0" borderId="0" xfId="1" applyFont="1" applyBorder="1" applyAlignment="1" applyProtection="1"/>
    <xf numFmtId="0" fontId="33" fillId="0" borderId="16" xfId="0" applyFont="1" applyBorder="1"/>
    <xf numFmtId="0" fontId="33" fillId="0" borderId="17" xfId="0" applyFont="1" applyBorder="1"/>
    <xf numFmtId="0" fontId="33" fillId="0" borderId="18" xfId="0" applyFont="1" applyBorder="1"/>
    <xf numFmtId="0" fontId="38" fillId="0" borderId="0" xfId="1" applyFont="1" applyFill="1" applyBorder="1" applyAlignment="1" applyProtection="1"/>
    <xf numFmtId="166" fontId="24" fillId="0" borderId="0" xfId="0" applyNumberFormat="1" applyFont="1"/>
    <xf numFmtId="0" fontId="27" fillId="0" borderId="0" xfId="0" applyFont="1"/>
    <xf numFmtId="0" fontId="8" fillId="0" borderId="8" xfId="0" applyFont="1" applyBorder="1" applyAlignment="1">
      <alignment horizontal="center" vertical="center"/>
    </xf>
    <xf numFmtId="0" fontId="3" fillId="0" borderId="8" xfId="0" applyFont="1" applyBorder="1" applyAlignment="1">
      <alignment horizontal="left" vertical="center" wrapText="1"/>
    </xf>
    <xf numFmtId="0" fontId="8" fillId="0" borderId="8" xfId="0" applyFont="1" applyBorder="1" applyAlignment="1">
      <alignment horizontal="left" vertical="center" wrapText="1"/>
    </xf>
    <xf numFmtId="164" fontId="8"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0" borderId="8"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wrapText="1"/>
    </xf>
    <xf numFmtId="164" fontId="8" fillId="0" borderId="8" xfId="0" applyNumberFormat="1" applyFont="1" applyBorder="1" applyAlignment="1">
      <alignment vertical="center" wrapText="1"/>
    </xf>
    <xf numFmtId="164" fontId="8" fillId="0" borderId="8" xfId="0" applyNumberFormat="1" applyFont="1" applyBorder="1" applyAlignment="1">
      <alignment vertical="center"/>
    </xf>
    <xf numFmtId="0" fontId="8" fillId="0" borderId="8" xfId="0" applyFont="1" applyBorder="1" applyAlignment="1">
      <alignment vertical="center"/>
    </xf>
    <xf numFmtId="0" fontId="3" fillId="6" borderId="8" xfId="0" applyFont="1" applyFill="1" applyBorder="1" applyAlignment="1">
      <alignment horizontal="center" vertical="center" wrapText="1"/>
    </xf>
    <xf numFmtId="0" fontId="3" fillId="3" borderId="14" xfId="0" applyFont="1" applyFill="1" applyBorder="1" applyAlignment="1">
      <alignment vertical="center" wrapText="1"/>
    </xf>
    <xf numFmtId="0" fontId="3" fillId="0" borderId="33" xfId="0" applyFont="1" applyBorder="1" applyAlignment="1">
      <alignment vertical="center" wrapText="1"/>
    </xf>
    <xf numFmtId="164" fontId="8" fillId="0" borderId="34" xfId="0" applyNumberFormat="1" applyFont="1" applyBorder="1" applyAlignment="1">
      <alignment vertical="center" wrapText="1"/>
    </xf>
    <xf numFmtId="0" fontId="8" fillId="0" borderId="33"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xf>
    <xf numFmtId="0" fontId="8" fillId="0" borderId="48" xfId="0" applyFont="1" applyBorder="1" applyAlignment="1">
      <alignment horizontal="left" vertical="center" wrapText="1"/>
    </xf>
    <xf numFmtId="0" fontId="8" fillId="0" borderId="49" xfId="0" applyFont="1" applyBorder="1" applyAlignment="1">
      <alignment vertical="center"/>
    </xf>
    <xf numFmtId="0" fontId="8" fillId="0" borderId="34" xfId="0" applyFont="1" applyBorder="1" applyAlignment="1">
      <alignment horizontal="center" vertical="center"/>
    </xf>
    <xf numFmtId="0" fontId="3" fillId="0" borderId="33" xfId="0" applyFont="1" applyBorder="1" applyAlignment="1">
      <alignment horizontal="left" vertical="center" wrapText="1"/>
    </xf>
    <xf numFmtId="164" fontId="8" fillId="0" borderId="34" xfId="0" applyNumberFormat="1" applyFont="1" applyBorder="1" applyAlignment="1">
      <alignment horizontal="center" vertical="center"/>
    </xf>
    <xf numFmtId="0" fontId="8" fillId="0" borderId="48" xfId="0" applyFont="1" applyBorder="1" applyAlignment="1">
      <alignment horizontal="left" vertical="center"/>
    </xf>
    <xf numFmtId="0" fontId="25" fillId="3" borderId="23" xfId="0" applyFont="1" applyFill="1" applyBorder="1" applyAlignment="1">
      <alignment vertical="top" wrapText="1"/>
    </xf>
    <xf numFmtId="0" fontId="3" fillId="3" borderId="22" xfId="0" applyFont="1" applyFill="1" applyBorder="1" applyAlignment="1">
      <alignment horizontal="center" vertical="center" wrapText="1"/>
    </xf>
    <xf numFmtId="0" fontId="25" fillId="3" borderId="18" xfId="0" applyFont="1" applyFill="1" applyBorder="1" applyAlignment="1">
      <alignment vertical="top" wrapText="1"/>
    </xf>
    <xf numFmtId="0" fontId="33" fillId="0" borderId="53" xfId="0" applyFont="1" applyBorder="1" applyAlignment="1">
      <alignment horizontal="center" vertical="top"/>
    </xf>
    <xf numFmtId="0" fontId="33" fillId="0" borderId="37" xfId="0" applyFont="1" applyBorder="1" applyAlignment="1">
      <alignment horizontal="center" vertical="top"/>
    </xf>
    <xf numFmtId="0" fontId="3" fillId="0" borderId="29" xfId="0" applyFont="1" applyBorder="1"/>
    <xf numFmtId="0" fontId="3" fillId="6" borderId="75" xfId="0" applyFont="1" applyFill="1" applyBorder="1"/>
    <xf numFmtId="0" fontId="3" fillId="7"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24" fillId="6" borderId="42"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25" fillId="8" borderId="38"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24" fillId="8" borderId="38" xfId="0" applyFont="1" applyFill="1" applyBorder="1" applyAlignment="1">
      <alignment horizontal="center" vertical="center" wrapText="1"/>
    </xf>
    <xf numFmtId="0" fontId="8" fillId="8" borderId="34" xfId="0" applyFont="1" applyFill="1" applyBorder="1" applyAlignment="1">
      <alignment horizontal="center" vertical="center"/>
    </xf>
    <xf numFmtId="0" fontId="3" fillId="8" borderId="76" xfId="0" applyFont="1" applyFill="1" applyBorder="1"/>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164" fontId="8" fillId="8" borderId="8" xfId="0" applyNumberFormat="1" applyFont="1" applyFill="1" applyBorder="1" applyAlignment="1">
      <alignment vertical="center" wrapText="1"/>
    </xf>
    <xf numFmtId="164" fontId="8" fillId="8" borderId="34" xfId="0" applyNumberFormat="1" applyFont="1" applyFill="1" applyBorder="1" applyAlignment="1">
      <alignment vertical="center" wrapText="1"/>
    </xf>
    <xf numFmtId="0" fontId="3" fillId="8" borderId="34" xfId="0" applyFont="1" applyFill="1" applyBorder="1" applyAlignment="1">
      <alignment horizontal="center" vertical="center"/>
    </xf>
    <xf numFmtId="169" fontId="3" fillId="8" borderId="36" xfId="0" applyNumberFormat="1" applyFont="1" applyFill="1" applyBorder="1" applyAlignment="1">
      <alignment horizontal="center" vertical="center"/>
    </xf>
    <xf numFmtId="169" fontId="24" fillId="8" borderId="38" xfId="0" applyNumberFormat="1" applyFont="1" applyFill="1" applyBorder="1" applyAlignment="1">
      <alignment horizontal="center" vertical="center"/>
    </xf>
    <xf numFmtId="171" fontId="25" fillId="8" borderId="38" xfId="0" applyNumberFormat="1" applyFont="1" applyFill="1" applyBorder="1" applyAlignment="1">
      <alignment horizontal="center" vertical="center" wrapText="1"/>
    </xf>
    <xf numFmtId="169" fontId="24" fillId="8" borderId="38" xfId="0" applyNumberFormat="1" applyFont="1" applyFill="1" applyBorder="1" applyAlignment="1">
      <alignment horizontal="center" vertical="center" wrapText="1"/>
    </xf>
    <xf numFmtId="169" fontId="3" fillId="8" borderId="36" xfId="0" applyNumberFormat="1" applyFont="1" applyFill="1" applyBorder="1" applyAlignment="1">
      <alignment horizontal="center" vertical="center" wrapText="1"/>
    </xf>
    <xf numFmtId="0" fontId="40" fillId="8" borderId="36" xfId="0" applyFont="1" applyFill="1" applyBorder="1" applyAlignment="1">
      <alignment horizontal="center" vertical="center"/>
    </xf>
    <xf numFmtId="0" fontId="40" fillId="8" borderId="40" xfId="0" applyFont="1" applyFill="1" applyBorder="1" applyAlignment="1">
      <alignment horizontal="center" vertical="center" wrapText="1"/>
    </xf>
    <xf numFmtId="0" fontId="41" fillId="8" borderId="40" xfId="0" applyFont="1" applyFill="1" applyBorder="1" applyAlignment="1">
      <alignment horizontal="center" vertical="center" wrapText="1"/>
    </xf>
    <xf numFmtId="0" fontId="41" fillId="8" borderId="43" xfId="0" applyFont="1" applyFill="1" applyBorder="1" applyAlignment="1">
      <alignment horizontal="center" vertical="center" wrapText="1"/>
    </xf>
    <xf numFmtId="1" fontId="3" fillId="8" borderId="36" xfId="0" applyNumberFormat="1" applyFont="1" applyFill="1" applyBorder="1" applyAlignment="1">
      <alignment horizontal="center" vertical="center" wrapText="1"/>
    </xf>
    <xf numFmtId="1" fontId="3" fillId="8" borderId="40" xfId="0" applyNumberFormat="1" applyFont="1" applyFill="1" applyBorder="1" applyAlignment="1">
      <alignment horizontal="center" vertical="center" wrapText="1"/>
    </xf>
    <xf numFmtId="1" fontId="24" fillId="8" borderId="38" xfId="0" applyNumberFormat="1" applyFont="1" applyFill="1" applyBorder="1" applyAlignment="1">
      <alignment horizontal="center" vertical="center" wrapText="1"/>
    </xf>
    <xf numFmtId="1" fontId="8" fillId="8" borderId="36" xfId="0" applyNumberFormat="1" applyFont="1" applyFill="1" applyBorder="1" applyAlignment="1">
      <alignment horizontal="center" vertical="center" wrapText="1"/>
    </xf>
    <xf numFmtId="1" fontId="8" fillId="8" borderId="40" xfId="0" applyNumberFormat="1" applyFont="1" applyFill="1" applyBorder="1" applyAlignment="1">
      <alignment horizontal="center" vertical="center" wrapText="1"/>
    </xf>
    <xf numFmtId="0" fontId="25" fillId="8" borderId="38" xfId="0" applyFont="1" applyFill="1" applyBorder="1" applyAlignment="1">
      <alignment horizontal="center" vertical="center"/>
    </xf>
    <xf numFmtId="0" fontId="41" fillId="8" borderId="40" xfId="0" applyFont="1" applyFill="1" applyBorder="1" applyAlignment="1">
      <alignment horizontal="center" vertical="center"/>
    </xf>
    <xf numFmtId="0" fontId="41" fillId="8" borderId="38" xfId="0" applyFont="1" applyFill="1" applyBorder="1" applyAlignment="1">
      <alignment horizontal="center" vertical="center" wrapText="1"/>
    </xf>
    <xf numFmtId="0" fontId="8" fillId="8" borderId="62" xfId="0" applyFont="1" applyFill="1" applyBorder="1" applyAlignment="1">
      <alignment horizontal="center" vertical="center"/>
    </xf>
    <xf numFmtId="0" fontId="8" fillId="8" borderId="54" xfId="0" applyFont="1" applyFill="1" applyBorder="1" applyAlignment="1">
      <alignment horizontal="center" vertical="center"/>
    </xf>
    <xf numFmtId="169" fontId="24" fillId="8" borderId="63" xfId="0" applyNumberFormat="1" applyFont="1" applyFill="1" applyBorder="1" applyAlignment="1">
      <alignment horizontal="center" vertical="center"/>
    </xf>
    <xf numFmtId="0" fontId="8" fillId="8" borderId="54" xfId="0" applyFont="1" applyFill="1" applyBorder="1" applyAlignment="1">
      <alignment horizontal="center" vertical="center" wrapText="1"/>
    </xf>
    <xf numFmtId="0" fontId="25" fillId="8" borderId="54" xfId="0" applyFont="1" applyFill="1" applyBorder="1" applyAlignment="1">
      <alignment horizontal="center" vertical="center"/>
    </xf>
    <xf numFmtId="0" fontId="46" fillId="8" borderId="34" xfId="0" applyFont="1" applyFill="1" applyBorder="1" applyAlignment="1">
      <alignment horizontal="center" vertical="center"/>
    </xf>
    <xf numFmtId="0" fontId="6" fillId="8" borderId="34" xfId="0" applyFont="1" applyFill="1" applyBorder="1" applyAlignment="1">
      <alignment horizontal="center" vertical="center" wrapText="1"/>
    </xf>
    <xf numFmtId="169" fontId="3" fillId="8" borderId="40" xfId="0" applyNumberFormat="1" applyFont="1" applyFill="1" applyBorder="1" applyAlignment="1">
      <alignment horizontal="center" vertical="center" wrapText="1"/>
    </xf>
    <xf numFmtId="169" fontId="40" fillId="8" borderId="36" xfId="0" applyNumberFormat="1" applyFont="1" applyFill="1" applyBorder="1" applyAlignment="1">
      <alignment horizontal="center" vertical="center"/>
    </xf>
    <xf numFmtId="169" fontId="41" fillId="8" borderId="38" xfId="0" applyNumberFormat="1" applyFont="1" applyFill="1" applyBorder="1" applyAlignment="1">
      <alignment horizontal="center" vertical="center"/>
    </xf>
    <xf numFmtId="169" fontId="24" fillId="8" borderId="40" xfId="0" applyNumberFormat="1" applyFont="1" applyFill="1" applyBorder="1" applyAlignment="1">
      <alignment horizontal="center" vertical="center"/>
    </xf>
    <xf numFmtId="169" fontId="6" fillId="8" borderId="43" xfId="0" applyNumberFormat="1" applyFont="1" applyFill="1" applyBorder="1" applyAlignment="1">
      <alignment horizontal="center" vertical="center"/>
    </xf>
    <xf numFmtId="0" fontId="46" fillId="6" borderId="8" xfId="0" applyFont="1" applyFill="1" applyBorder="1" applyAlignment="1">
      <alignment horizontal="center" vertical="center"/>
    </xf>
    <xf numFmtId="0" fontId="6" fillId="6" borderId="8" xfId="0" applyFont="1" applyFill="1" applyBorder="1" applyAlignment="1">
      <alignment horizontal="center" vertical="center" wrapText="1"/>
    </xf>
    <xf numFmtId="1" fontId="3" fillId="6" borderId="22" xfId="0" applyNumberFormat="1" applyFont="1" applyFill="1" applyBorder="1" applyAlignment="1">
      <alignment horizontal="center" vertical="center" wrapText="1"/>
    </xf>
    <xf numFmtId="0" fontId="40" fillId="6" borderId="22" xfId="0" applyFont="1" applyFill="1" applyBorder="1" applyAlignment="1">
      <alignment horizontal="center" vertical="center" wrapText="1"/>
    </xf>
    <xf numFmtId="0" fontId="41" fillId="6" borderId="23" xfId="0" applyFont="1" applyFill="1" applyBorder="1" applyAlignment="1">
      <alignment horizontal="center" vertical="center" wrapText="1"/>
    </xf>
    <xf numFmtId="1" fontId="3" fillId="6" borderId="24" xfId="0" applyNumberFormat="1" applyFont="1" applyFill="1" applyBorder="1" applyAlignment="1">
      <alignment horizontal="center" vertical="center" wrapText="1"/>
    </xf>
    <xf numFmtId="0" fontId="24" fillId="6" borderId="24" xfId="0" applyFont="1" applyFill="1" applyBorder="1" applyAlignment="1">
      <alignment horizontal="center" vertical="center" wrapText="1"/>
    </xf>
    <xf numFmtId="1" fontId="8" fillId="6" borderId="22" xfId="0" applyNumberFormat="1"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3" fillId="6" borderId="22" xfId="0" applyFont="1" applyFill="1" applyBorder="1" applyAlignment="1">
      <alignment horizontal="center" vertical="center"/>
    </xf>
    <xf numFmtId="169" fontId="24" fillId="6" borderId="23" xfId="0" applyNumberFormat="1" applyFont="1" applyFill="1" applyBorder="1" applyAlignment="1">
      <alignment horizontal="center" vertical="center"/>
    </xf>
    <xf numFmtId="169" fontId="24" fillId="6" borderId="24" xfId="0" applyNumberFormat="1" applyFont="1" applyFill="1" applyBorder="1" applyAlignment="1">
      <alignment horizontal="center" vertical="center" wrapText="1"/>
    </xf>
    <xf numFmtId="1" fontId="24" fillId="6" borderId="23" xfId="0" applyNumberFormat="1" applyFont="1" applyFill="1" applyBorder="1" applyAlignment="1">
      <alignment horizontal="center" vertical="center" wrapText="1"/>
    </xf>
    <xf numFmtId="1" fontId="8" fillId="6" borderId="24" xfId="0" applyNumberFormat="1" applyFont="1" applyFill="1" applyBorder="1" applyAlignment="1">
      <alignment horizontal="center" vertical="center" wrapText="1"/>
    </xf>
    <xf numFmtId="1" fontId="25" fillId="6" borderId="23" xfId="0" applyNumberFormat="1" applyFont="1" applyFill="1" applyBorder="1" applyAlignment="1">
      <alignment horizontal="center" vertical="center"/>
    </xf>
    <xf numFmtId="0" fontId="40" fillId="6" borderId="22" xfId="0" applyFont="1" applyFill="1" applyBorder="1" applyAlignment="1">
      <alignment horizontal="center" vertical="center"/>
    </xf>
    <xf numFmtId="0" fontId="40" fillId="6" borderId="24" xfId="0" applyFont="1" applyFill="1" applyBorder="1" applyAlignment="1">
      <alignment horizontal="center" vertical="center" wrapText="1"/>
    </xf>
    <xf numFmtId="0" fontId="41" fillId="6" borderId="24"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33" xfId="0" applyFont="1" applyFill="1" applyBorder="1" applyAlignment="1">
      <alignment horizontal="center" vertical="center" wrapText="1"/>
    </xf>
    <xf numFmtId="0" fontId="33" fillId="7" borderId="33" xfId="0" applyFont="1" applyFill="1" applyBorder="1" applyAlignment="1">
      <alignment horizontal="center" vertical="center" wrapText="1"/>
    </xf>
    <xf numFmtId="0" fontId="33" fillId="7" borderId="8" xfId="0" applyFont="1" applyFill="1" applyBorder="1" applyAlignment="1">
      <alignment horizontal="center" vertical="center" wrapText="1"/>
    </xf>
    <xf numFmtId="0" fontId="41" fillId="6" borderId="24" xfId="0" applyFont="1" applyFill="1" applyBorder="1" applyAlignment="1">
      <alignment horizontal="center" vertical="center" wrapText="1"/>
    </xf>
    <xf numFmtId="0" fontId="41" fillId="6" borderId="42" xfId="0" applyFont="1" applyFill="1" applyBorder="1" applyAlignment="1">
      <alignment horizontal="center" vertical="center" wrapText="1"/>
    </xf>
    <xf numFmtId="164" fontId="8" fillId="6" borderId="8" xfId="0" applyNumberFormat="1" applyFont="1" applyFill="1" applyBorder="1" applyAlignment="1">
      <alignment vertical="center" wrapText="1"/>
    </xf>
    <xf numFmtId="164" fontId="8" fillId="6" borderId="34" xfId="0" applyNumberFormat="1" applyFont="1" applyFill="1" applyBorder="1" applyAlignment="1">
      <alignment vertical="center" wrapText="1"/>
    </xf>
    <xf numFmtId="164" fontId="8" fillId="6" borderId="8" xfId="0" applyNumberFormat="1" applyFont="1" applyFill="1" applyBorder="1" applyAlignment="1">
      <alignment vertical="center"/>
    </xf>
    <xf numFmtId="0" fontId="6" fillId="9" borderId="45" xfId="0" applyFont="1" applyFill="1" applyBorder="1" applyAlignment="1">
      <alignment horizontal="left" vertical="center"/>
    </xf>
    <xf numFmtId="0" fontId="14" fillId="9" borderId="46" xfId="0" applyFont="1" applyFill="1" applyBorder="1" applyAlignment="1">
      <alignment horizontal="left" vertical="center"/>
    </xf>
    <xf numFmtId="0" fontId="3" fillId="6" borderId="77" xfId="0" applyFont="1" applyFill="1" applyBorder="1"/>
    <xf numFmtId="0" fontId="3" fillId="10" borderId="75" xfId="0" applyFont="1" applyFill="1" applyBorder="1"/>
    <xf numFmtId="0" fontId="46" fillId="9" borderId="33" xfId="0" applyFont="1" applyFill="1" applyBorder="1" applyAlignment="1">
      <alignment horizontal="center" vertical="center" wrapText="1"/>
    </xf>
    <xf numFmtId="0" fontId="46" fillId="9" borderId="8" xfId="0" applyFont="1" applyFill="1" applyBorder="1" applyAlignment="1">
      <alignment horizontal="center" vertical="center" wrapText="1"/>
    </xf>
    <xf numFmtId="0" fontId="24" fillId="8" borderId="40" xfId="0" applyFont="1" applyFill="1" applyBorder="1" applyAlignment="1">
      <alignment horizontal="center" vertical="center" wrapText="1"/>
    </xf>
    <xf numFmtId="0" fontId="3" fillId="0" borderId="33" xfId="0" applyFont="1" applyBorder="1" applyAlignment="1">
      <alignment horizontal="center" vertical="center" wrapText="1"/>
    </xf>
    <xf numFmtId="0" fontId="8" fillId="0" borderId="35" xfId="0" applyFont="1" applyBorder="1" applyAlignment="1">
      <alignment horizontal="right" vertical="center" wrapText="1"/>
    </xf>
    <xf numFmtId="0" fontId="3" fillId="3" borderId="39" xfId="0" applyFont="1" applyFill="1" applyBorder="1" applyAlignment="1">
      <alignment horizontal="right" vertical="center" wrapText="1"/>
    </xf>
    <xf numFmtId="0" fontId="24" fillId="3" borderId="37"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5" fillId="3" borderId="37" xfId="0" applyFont="1" applyFill="1" applyBorder="1" applyAlignment="1">
      <alignment horizontal="right" vertical="center" wrapText="1"/>
    </xf>
    <xf numFmtId="0" fontId="8" fillId="3" borderId="39" xfId="0" applyFont="1" applyFill="1" applyBorder="1" applyAlignment="1">
      <alignment horizontal="right" vertical="center" wrapText="1"/>
    </xf>
    <xf numFmtId="0" fontId="24" fillId="3" borderId="41" xfId="0" applyFont="1" applyFill="1" applyBorder="1" applyAlignment="1">
      <alignment horizontal="right" vertical="center" wrapText="1"/>
    </xf>
    <xf numFmtId="164" fontId="8" fillId="10" borderId="8" xfId="0" applyNumberFormat="1" applyFont="1" applyFill="1" applyBorder="1" applyAlignment="1">
      <alignment horizontal="right" vertical="center"/>
    </xf>
    <xf numFmtId="164" fontId="8" fillId="6" borderId="8" xfId="0" applyNumberFormat="1" applyFont="1" applyFill="1" applyBorder="1" applyAlignment="1">
      <alignment horizontal="right" vertical="center"/>
    </xf>
    <xf numFmtId="164" fontId="8" fillId="6" borderId="34" xfId="0" applyNumberFormat="1" applyFont="1" applyFill="1" applyBorder="1" applyAlignment="1">
      <alignment horizontal="right" vertical="center"/>
    </xf>
    <xf numFmtId="164" fontId="8" fillId="2" borderId="8" xfId="0" applyNumberFormat="1" applyFont="1" applyFill="1" applyBorder="1" applyAlignment="1">
      <alignment horizontal="right" vertical="center"/>
    </xf>
    <xf numFmtId="164" fontId="3" fillId="2" borderId="8" xfId="0" applyNumberFormat="1" applyFont="1" applyFill="1" applyBorder="1" applyAlignment="1">
      <alignment horizontal="right" vertical="center"/>
    </xf>
    <xf numFmtId="164" fontId="8" fillId="8" borderId="8" xfId="0" applyNumberFormat="1" applyFont="1" applyFill="1" applyBorder="1" applyAlignment="1">
      <alignment horizontal="right" vertical="center"/>
    </xf>
    <xf numFmtId="164" fontId="8" fillId="8" borderId="34" xfId="0" applyNumberFormat="1" applyFont="1" applyFill="1" applyBorder="1" applyAlignment="1">
      <alignment horizontal="right" vertical="center"/>
    </xf>
    <xf numFmtId="164" fontId="8" fillId="0" borderId="8" xfId="0" applyNumberFormat="1" applyFont="1" applyBorder="1" applyAlignment="1">
      <alignment horizontal="right" vertical="center"/>
    </xf>
    <xf numFmtId="164" fontId="8" fillId="0" borderId="34" xfId="0" applyNumberFormat="1" applyFont="1" applyBorder="1" applyAlignment="1">
      <alignment horizontal="right" vertical="center"/>
    </xf>
    <xf numFmtId="164" fontId="30" fillId="0" borderId="8" xfId="0" applyNumberFormat="1" applyFont="1" applyBorder="1" applyAlignment="1">
      <alignment horizontal="right" vertical="center"/>
    </xf>
    <xf numFmtId="164" fontId="30" fillId="0" borderId="34" xfId="0" applyNumberFormat="1" applyFont="1" applyBorder="1" applyAlignment="1">
      <alignment horizontal="right" vertical="center"/>
    </xf>
    <xf numFmtId="164" fontId="16" fillId="2" borderId="8" xfId="0" applyNumberFormat="1" applyFont="1" applyFill="1" applyBorder="1" applyAlignment="1">
      <alignment horizontal="right" vertical="center"/>
    </xf>
    <xf numFmtId="168" fontId="8" fillId="10" borderId="8" xfId="0" applyNumberFormat="1" applyFont="1" applyFill="1" applyBorder="1" applyAlignment="1">
      <alignment horizontal="right" vertical="center"/>
    </xf>
    <xf numFmtId="168" fontId="8" fillId="10" borderId="34" xfId="0" applyNumberFormat="1" applyFont="1" applyFill="1" applyBorder="1" applyAlignment="1">
      <alignment horizontal="right" vertical="center"/>
    </xf>
    <xf numFmtId="164" fontId="16" fillId="2" borderId="48" xfId="0" applyNumberFormat="1" applyFont="1" applyFill="1" applyBorder="1" applyAlignment="1">
      <alignment horizontal="right" vertical="center"/>
    </xf>
    <xf numFmtId="164" fontId="8" fillId="6" borderId="48" xfId="0" applyNumberFormat="1" applyFont="1" applyFill="1" applyBorder="1" applyAlignment="1">
      <alignment horizontal="right" vertical="center"/>
    </xf>
    <xf numFmtId="164" fontId="30" fillId="0" borderId="48" xfId="0" applyNumberFormat="1" applyFont="1" applyBorder="1" applyAlignment="1">
      <alignment horizontal="right" vertical="center"/>
    </xf>
    <xf numFmtId="164" fontId="30" fillId="0" borderId="49" xfId="0" applyNumberFormat="1" applyFont="1" applyBorder="1" applyAlignment="1">
      <alignment horizontal="right" vertical="center"/>
    </xf>
    <xf numFmtId="164" fontId="8" fillId="0" borderId="8" xfId="0" applyNumberFormat="1" applyFont="1" applyBorder="1" applyAlignment="1">
      <alignment horizontal="right" vertical="center" wrapText="1"/>
    </xf>
    <xf numFmtId="164" fontId="8" fillId="0" borderId="34" xfId="0" applyNumberFormat="1" applyFont="1" applyBorder="1" applyAlignment="1">
      <alignment horizontal="right" vertical="center" wrapText="1"/>
    </xf>
    <xf numFmtId="169" fontId="3" fillId="8" borderId="40" xfId="0" applyNumberFormat="1" applyFont="1" applyFill="1" applyBorder="1" applyAlignment="1">
      <alignment horizontal="center" vertical="center"/>
    </xf>
    <xf numFmtId="0" fontId="24" fillId="3" borderId="23" xfId="0" applyFont="1" applyFill="1" applyBorder="1" applyAlignment="1">
      <alignment horizontal="justify" vertical="center" wrapText="1"/>
    </xf>
    <xf numFmtId="171" fontId="8" fillId="8" borderId="40" xfId="0" applyNumberFormat="1" applyFont="1" applyFill="1" applyBorder="1" applyAlignment="1">
      <alignment horizontal="center" vertical="center" wrapText="1"/>
    </xf>
    <xf numFmtId="0" fontId="25" fillId="3" borderId="23" xfId="0" applyFont="1" applyFill="1" applyBorder="1" applyAlignment="1">
      <alignment horizontal="justify" vertical="center" wrapText="1"/>
    </xf>
    <xf numFmtId="0" fontId="43" fillId="0" borderId="0" xfId="0" applyFont="1" applyAlignment="1">
      <alignment vertical="center"/>
    </xf>
    <xf numFmtId="0" fontId="22" fillId="0" borderId="0" xfId="0" applyFont="1" applyAlignment="1">
      <alignment vertical="center"/>
    </xf>
    <xf numFmtId="0" fontId="13" fillId="0" borderId="0" xfId="0" applyFont="1" applyAlignment="1">
      <alignment vertical="center"/>
    </xf>
    <xf numFmtId="0" fontId="44" fillId="0" borderId="0" xfId="0" applyFont="1" applyAlignment="1">
      <alignment vertical="center"/>
    </xf>
    <xf numFmtId="0" fontId="3" fillId="0" borderId="0" xfId="0" applyFont="1" applyAlignment="1">
      <alignment horizontal="right" vertical="center"/>
    </xf>
    <xf numFmtId="0" fontId="3" fillId="3" borderId="28" xfId="0" applyFont="1" applyFill="1" applyBorder="1" applyAlignment="1">
      <alignment horizontal="right" vertical="center" wrapText="1"/>
    </xf>
    <xf numFmtId="0" fontId="24" fillId="3" borderId="18" xfId="0" applyFont="1" applyFill="1" applyBorder="1" applyAlignment="1">
      <alignment horizontal="right" vertical="center" wrapText="1"/>
    </xf>
    <xf numFmtId="173" fontId="8" fillId="0" borderId="8" xfId="0" applyNumberFormat="1" applyFont="1" applyBorder="1" applyAlignment="1">
      <alignment vertical="center"/>
    </xf>
    <xf numFmtId="173" fontId="8" fillId="0" borderId="34" xfId="0" applyNumberFormat="1" applyFont="1" applyBorder="1" applyAlignment="1">
      <alignment vertical="center"/>
    </xf>
    <xf numFmtId="0" fontId="4" fillId="0" borderId="0" xfId="1" applyFont="1" applyFill="1" applyBorder="1" applyAlignment="1" applyProtection="1">
      <alignment vertical="center"/>
    </xf>
    <xf numFmtId="0" fontId="5" fillId="0" borderId="0" xfId="0" applyFont="1" applyAlignment="1">
      <alignment vertical="center"/>
    </xf>
    <xf numFmtId="0" fontId="3" fillId="7" borderId="8" xfId="0" applyFont="1" applyFill="1" applyBorder="1" applyAlignment="1">
      <alignment horizontal="left" vertical="center" wrapText="1"/>
    </xf>
    <xf numFmtId="0" fontId="24" fillId="3" borderId="23" xfId="0" applyFont="1" applyFill="1" applyBorder="1" applyAlignment="1">
      <alignment vertical="center"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xf numFmtId="0" fontId="3" fillId="3" borderId="15" xfId="0" applyFont="1" applyFill="1" applyBorder="1" applyAlignment="1">
      <alignment vertical="center" wrapText="1"/>
    </xf>
    <xf numFmtId="0" fontId="3" fillId="3" borderId="65" xfId="0" applyFont="1" applyFill="1" applyBorder="1" applyAlignment="1">
      <alignment vertical="center" wrapText="1"/>
    </xf>
    <xf numFmtId="0" fontId="3" fillId="3" borderId="66" xfId="0" applyFont="1" applyFill="1" applyBorder="1" applyAlignment="1">
      <alignment vertical="center" wrapText="1"/>
    </xf>
    <xf numFmtId="169" fontId="24" fillId="6" borderId="42" xfId="0" applyNumberFormat="1" applyFont="1" applyFill="1" applyBorder="1" applyAlignment="1">
      <alignment horizontal="center" vertical="center" wrapText="1"/>
    </xf>
    <xf numFmtId="0" fontId="25" fillId="8" borderId="67" xfId="0" applyFont="1" applyFill="1" applyBorder="1" applyAlignment="1">
      <alignment horizontal="center" vertical="center" wrapText="1"/>
    </xf>
    <xf numFmtId="0" fontId="22"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vertical="center"/>
    </xf>
    <xf numFmtId="164" fontId="8" fillId="6" borderId="8" xfId="0" applyNumberFormat="1" applyFont="1" applyFill="1" applyBorder="1" applyAlignment="1">
      <alignment horizontal="center" vertical="center"/>
    </xf>
    <xf numFmtId="164" fontId="3" fillId="8" borderId="8" xfId="0" applyNumberFormat="1" applyFont="1" applyFill="1" applyBorder="1" applyAlignment="1">
      <alignment horizontal="center" vertical="center"/>
    </xf>
    <xf numFmtId="0" fontId="3" fillId="0" borderId="0" xfId="0" quotePrefix="1" applyFont="1" applyAlignment="1">
      <alignment horizontal="right" vertical="center"/>
    </xf>
    <xf numFmtId="164" fontId="3" fillId="6" borderId="8" xfId="0" applyNumberFormat="1" applyFont="1" applyFill="1" applyBorder="1" applyAlignment="1">
      <alignment horizontal="center" vertical="center"/>
    </xf>
    <xf numFmtId="164" fontId="8" fillId="8" borderId="8" xfId="0" applyNumberFormat="1" applyFont="1" applyFill="1" applyBorder="1" applyAlignment="1">
      <alignment horizontal="center" vertical="center"/>
    </xf>
    <xf numFmtId="0" fontId="16"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right" vertical="center" wrapText="1"/>
    </xf>
    <xf numFmtId="164" fontId="3" fillId="0" borderId="8" xfId="0" applyNumberFormat="1" applyFont="1" applyBorder="1" applyAlignment="1">
      <alignment horizontal="center" vertical="center"/>
    </xf>
    <xf numFmtId="164" fontId="3"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8" fontId="3" fillId="0" borderId="0" xfId="0" applyNumberFormat="1" applyFont="1" applyAlignment="1">
      <alignment horizontal="center" vertical="center"/>
    </xf>
    <xf numFmtId="0" fontId="3" fillId="0" borderId="0" xfId="0" applyFont="1" applyAlignment="1">
      <alignment vertical="center" wrapText="1"/>
    </xf>
    <xf numFmtId="0" fontId="5" fillId="0" borderId="0" xfId="0" applyFont="1" applyAlignment="1">
      <alignment horizontal="left" vertical="center"/>
    </xf>
    <xf numFmtId="0" fontId="29" fillId="0" borderId="0" xfId="0" applyFont="1" applyAlignment="1">
      <alignment vertical="center"/>
    </xf>
    <xf numFmtId="1" fontId="29" fillId="0" borderId="0" xfId="0" applyNumberFormat="1" applyFont="1" applyAlignment="1">
      <alignment horizontal="center" vertical="center"/>
    </xf>
    <xf numFmtId="0" fontId="8" fillId="0" borderId="0" xfId="0" applyFont="1" applyAlignment="1">
      <alignment vertical="center"/>
    </xf>
    <xf numFmtId="0" fontId="8" fillId="3" borderId="22" xfId="0" applyFont="1" applyFill="1" applyBorder="1" applyAlignment="1">
      <alignment vertical="center" wrapText="1"/>
    </xf>
    <xf numFmtId="0" fontId="8" fillId="3" borderId="28" xfId="0" applyFont="1" applyFill="1" applyBorder="1" applyAlignment="1">
      <alignment vertical="center" wrapText="1"/>
    </xf>
    <xf numFmtId="0" fontId="18" fillId="0" borderId="0" xfId="0" applyFont="1" applyAlignment="1">
      <alignment vertical="center"/>
    </xf>
    <xf numFmtId="164" fontId="8" fillId="6" borderId="80" xfId="0" applyNumberFormat="1" applyFont="1" applyFill="1" applyBorder="1" applyAlignment="1">
      <alignment horizontal="center" vertical="center"/>
    </xf>
    <xf numFmtId="172" fontId="8" fillId="6" borderId="8" xfId="0" applyNumberFormat="1" applyFont="1" applyFill="1" applyBorder="1" applyAlignment="1">
      <alignment horizontal="center" vertical="center"/>
    </xf>
    <xf numFmtId="172" fontId="8" fillId="8" borderId="82" xfId="0" applyNumberFormat="1" applyFont="1" applyFill="1" applyBorder="1" applyAlignment="1">
      <alignment horizontal="center" vertical="center"/>
    </xf>
    <xf numFmtId="0" fontId="38" fillId="0" borderId="0" xfId="1" applyFont="1" applyFill="1" applyBorder="1" applyAlignment="1" applyProtection="1">
      <alignment horizontal="left" vertical="center"/>
    </xf>
    <xf numFmtId="0" fontId="3" fillId="0" borderId="8" xfId="0" applyFont="1" applyBorder="1" applyAlignment="1">
      <alignment vertical="center" wrapText="1"/>
    </xf>
    <xf numFmtId="0" fontId="24" fillId="3" borderId="23" xfId="0" applyFont="1" applyFill="1" applyBorder="1" applyAlignment="1">
      <alignment horizontal="center" vertical="center" wrapText="1"/>
    </xf>
    <xf numFmtId="0" fontId="3" fillId="7" borderId="82" xfId="0" applyFont="1" applyFill="1" applyBorder="1" applyAlignment="1">
      <alignment horizontal="center" vertical="center" wrapText="1"/>
    </xf>
    <xf numFmtId="0" fontId="24" fillId="0" borderId="8" xfId="0" applyFont="1" applyBorder="1" applyAlignment="1">
      <alignment horizontal="center" vertical="center" wrapText="1"/>
    </xf>
    <xf numFmtId="165" fontId="8" fillId="0" borderId="48" xfId="0" applyNumberFormat="1" applyFont="1" applyBorder="1" applyAlignment="1">
      <alignment horizontal="center" vertical="center"/>
    </xf>
    <xf numFmtId="0" fontId="3" fillId="6" borderId="82" xfId="0" applyFont="1" applyFill="1" applyBorder="1" applyAlignment="1">
      <alignment horizontal="center" vertical="center" wrapText="1"/>
    </xf>
    <xf numFmtId="0" fontId="3" fillId="8" borderId="82" xfId="0" applyFont="1" applyFill="1" applyBorder="1" applyAlignment="1">
      <alignment horizontal="center" vertical="center" wrapText="1"/>
    </xf>
    <xf numFmtId="0" fontId="87" fillId="0" borderId="82" xfId="0" applyFont="1" applyBorder="1" applyAlignment="1">
      <alignment vertical="center" wrapText="1"/>
    </xf>
    <xf numFmtId="0" fontId="40" fillId="3" borderId="24" xfId="0" applyFont="1" applyFill="1" applyBorder="1" applyAlignment="1">
      <alignment vertical="center"/>
    </xf>
    <xf numFmtId="0" fontId="41" fillId="3" borderId="23" xfId="0" applyFont="1" applyFill="1" applyBorder="1" applyAlignment="1">
      <alignment vertical="center"/>
    </xf>
    <xf numFmtId="0" fontId="40" fillId="3" borderId="22" xfId="0" applyFont="1" applyFill="1" applyBorder="1" applyAlignment="1">
      <alignment vertical="center"/>
    </xf>
    <xf numFmtId="0" fontId="85" fillId="3" borderId="24" xfId="0" applyFont="1" applyFill="1" applyBorder="1" applyAlignment="1">
      <alignment horizontal="right" vertical="top"/>
    </xf>
    <xf numFmtId="0" fontId="86" fillId="3" borderId="23" xfId="0" applyFont="1" applyFill="1" applyBorder="1" applyAlignment="1">
      <alignment horizontal="right" vertical="top"/>
    </xf>
    <xf numFmtId="0" fontId="40" fillId="3" borderId="24" xfId="0" applyFont="1" applyFill="1" applyBorder="1" applyAlignment="1">
      <alignment horizontal="right" vertical="center"/>
    </xf>
    <xf numFmtId="0" fontId="41" fillId="3" borderId="23" xfId="0" applyFont="1" applyFill="1" applyBorder="1" applyAlignment="1">
      <alignment horizontal="right" vertical="center"/>
    </xf>
    <xf numFmtId="0" fontId="8" fillId="54" borderId="85" xfId="0" applyFont="1" applyFill="1" applyBorder="1" applyAlignment="1">
      <alignment horizontal="center" vertical="center" wrapText="1"/>
    </xf>
    <xf numFmtId="0" fontId="8" fillId="11" borderId="0" xfId="0" applyFont="1" applyFill="1" applyAlignment="1">
      <alignment horizontal="center" vertical="center" wrapText="1"/>
    </xf>
    <xf numFmtId="0" fontId="8" fillId="11" borderId="85" xfId="0" applyFont="1" applyFill="1" applyBorder="1" applyAlignment="1">
      <alignment horizontal="center" vertical="center" wrapText="1"/>
    </xf>
    <xf numFmtId="0" fontId="8" fillId="53" borderId="85" xfId="0" applyFont="1" applyFill="1" applyBorder="1" applyAlignment="1">
      <alignment horizontal="center" vertical="center" wrapText="1"/>
    </xf>
    <xf numFmtId="0" fontId="8" fillId="53" borderId="28" xfId="0" applyFont="1" applyFill="1" applyBorder="1" applyAlignment="1">
      <alignment horizontal="center" vertical="center" wrapText="1"/>
    </xf>
    <xf numFmtId="0" fontId="8" fillId="54" borderId="0" xfId="0" applyFont="1" applyFill="1" applyAlignment="1">
      <alignment horizontal="center" vertical="center" wrapText="1"/>
    </xf>
    <xf numFmtId="0" fontId="8" fillId="53" borderId="0" xfId="0" applyFont="1" applyFill="1" applyAlignment="1">
      <alignment horizontal="center" vertical="center" wrapText="1"/>
    </xf>
    <xf numFmtId="0" fontId="8" fillId="53" borderId="15" xfId="0" applyFont="1" applyFill="1" applyBorder="1" applyAlignment="1">
      <alignment horizontal="center" vertical="center" wrapText="1"/>
    </xf>
    <xf numFmtId="0" fontId="89" fillId="54" borderId="0" xfId="0" applyFont="1" applyFill="1" applyAlignment="1">
      <alignment horizontal="center" vertical="center" wrapText="1"/>
    </xf>
    <xf numFmtId="0" fontId="8" fillId="54" borderId="15" xfId="0" applyFont="1" applyFill="1" applyBorder="1" applyAlignment="1">
      <alignment horizontal="center" vertical="center" wrapText="1"/>
    </xf>
    <xf numFmtId="0" fontId="8" fillId="54" borderId="17" xfId="0" applyFont="1" applyFill="1" applyBorder="1" applyAlignment="1">
      <alignment horizontal="center" vertical="center" wrapText="1"/>
    </xf>
    <xf numFmtId="0" fontId="89" fillId="54" borderId="17" xfId="0" applyFont="1" applyFill="1" applyBorder="1" applyAlignment="1">
      <alignment horizontal="center" vertical="center" wrapText="1"/>
    </xf>
    <xf numFmtId="0" fontId="8" fillId="54" borderId="18" xfId="0" applyFont="1" applyFill="1" applyBorder="1" applyAlignment="1">
      <alignment horizontal="center" vertical="center" wrapText="1"/>
    </xf>
    <xf numFmtId="0" fontId="8" fillId="0" borderId="0" xfId="0" applyFont="1" applyAlignment="1">
      <alignment horizontal="center" vertical="center" wrapText="1"/>
    </xf>
    <xf numFmtId="0" fontId="8" fillId="3" borderId="0" xfId="0" applyFont="1" applyFill="1" applyAlignment="1">
      <alignment horizontal="center" vertical="center" wrapText="1"/>
    </xf>
    <xf numFmtId="0" fontId="3" fillId="3" borderId="17" xfId="0" applyFont="1" applyFill="1" applyBorder="1" applyAlignment="1">
      <alignment horizontal="center" vertical="center" wrapText="1"/>
    </xf>
    <xf numFmtId="14" fontId="90" fillId="0" borderId="85" xfId="0" applyNumberFormat="1" applyFont="1" applyBorder="1" applyAlignment="1">
      <alignment horizontal="center" vertical="center" wrapText="1"/>
    </xf>
    <xf numFmtId="14" fontId="91" fillId="0" borderId="8" xfId="0" applyNumberFormat="1" applyFont="1" applyBorder="1" applyAlignment="1">
      <alignment horizontal="center" vertical="center" wrapText="1"/>
    </xf>
    <xf numFmtId="14" fontId="92" fillId="0" borderId="8" xfId="0" applyNumberFormat="1" applyFont="1" applyBorder="1" applyAlignment="1">
      <alignment horizontal="center" vertical="center" wrapText="1"/>
    </xf>
    <xf numFmtId="14" fontId="92" fillId="3" borderId="8" xfId="0" applyNumberFormat="1" applyFont="1" applyFill="1" applyBorder="1" applyAlignment="1">
      <alignment horizontal="center" vertical="center" wrapText="1"/>
    </xf>
    <xf numFmtId="0" fontId="92" fillId="0" borderId="8" xfId="0" applyFont="1" applyBorder="1" applyAlignment="1">
      <alignment vertical="center" wrapText="1"/>
    </xf>
    <xf numFmtId="0" fontId="51" fillId="54" borderId="27" xfId="0" applyFont="1" applyFill="1" applyBorder="1" applyAlignment="1">
      <alignment horizontal="center" vertical="center"/>
    </xf>
    <xf numFmtId="0" fontId="51" fillId="54" borderId="28" xfId="0" applyFont="1" applyFill="1" applyBorder="1" applyAlignment="1">
      <alignment horizontal="center" vertical="center"/>
    </xf>
    <xf numFmtId="0" fontId="52" fillId="11" borderId="14" xfId="0" applyFont="1" applyFill="1" applyBorder="1" applyAlignment="1">
      <alignment horizontal="center" vertical="center"/>
    </xf>
    <xf numFmtId="0" fontId="52" fillId="11" borderId="15" xfId="0" applyFont="1" applyFill="1" applyBorder="1" applyAlignment="1">
      <alignment horizontal="center" vertical="center"/>
    </xf>
    <xf numFmtId="0" fontId="3" fillId="53" borderId="14" xfId="0" applyFont="1" applyFill="1" applyBorder="1" applyAlignment="1">
      <alignment horizontal="center" vertical="center"/>
    </xf>
    <xf numFmtId="0" fontId="3" fillId="53" borderId="15" xfId="0" applyFont="1" applyFill="1" applyBorder="1" applyAlignment="1">
      <alignment horizontal="center" vertical="center"/>
    </xf>
    <xf numFmtId="164" fontId="3" fillId="6" borderId="82" xfId="0" applyNumberFormat="1" applyFont="1" applyFill="1" applyBorder="1" applyAlignment="1">
      <alignment horizontal="center" vertical="center" wrapText="1"/>
    </xf>
    <xf numFmtId="164" fontId="3" fillId="8" borderId="82" xfId="0" applyNumberFormat="1" applyFont="1" applyFill="1" applyBorder="1" applyAlignment="1">
      <alignment horizontal="center" vertical="center" wrapText="1"/>
    </xf>
    <xf numFmtId="0" fontId="33" fillId="4" borderId="9" xfId="0" applyFont="1" applyFill="1" applyBorder="1" applyAlignment="1">
      <alignment horizontal="center"/>
    </xf>
    <xf numFmtId="0" fontId="33" fillId="4" borderId="10" xfId="0" applyFont="1" applyFill="1" applyBorder="1" applyAlignment="1">
      <alignment horizontal="center"/>
    </xf>
    <xf numFmtId="0" fontId="33" fillId="4" borderId="11" xfId="0" applyFont="1" applyFill="1" applyBorder="1" applyAlignment="1">
      <alignment horizontal="center"/>
    </xf>
    <xf numFmtId="0" fontId="34" fillId="5" borderId="14" xfId="0" applyFont="1" applyFill="1" applyBorder="1" applyAlignment="1">
      <alignment horizontal="center" vertical="center" wrapText="1"/>
    </xf>
    <xf numFmtId="0" fontId="34" fillId="5" borderId="0" xfId="0" applyFont="1" applyFill="1" applyAlignment="1">
      <alignment horizontal="center" vertical="center" wrapText="1"/>
    </xf>
    <xf numFmtId="0" fontId="33" fillId="0" borderId="14" xfId="0" applyFont="1" applyBorder="1" applyAlignment="1">
      <alignment horizontal="center"/>
    </xf>
    <xf numFmtId="0" fontId="33" fillId="0" borderId="0" xfId="0" applyFont="1" applyAlignment="1">
      <alignment horizontal="center"/>
    </xf>
    <xf numFmtId="0" fontId="34" fillId="5" borderId="14" xfId="0" applyFont="1" applyFill="1" applyBorder="1" applyAlignment="1">
      <alignment horizontal="left" indent="2"/>
    </xf>
    <xf numFmtId="0" fontId="34" fillId="5" borderId="0" xfId="0" applyFont="1" applyFill="1" applyAlignment="1">
      <alignment horizontal="left" indent="2"/>
    </xf>
    <xf numFmtId="0" fontId="40" fillId="7" borderId="59" xfId="0" applyFont="1" applyFill="1" applyBorder="1" applyAlignment="1">
      <alignment horizontal="right" vertical="center" wrapText="1"/>
    </xf>
    <xf numFmtId="0" fontId="40" fillId="7" borderId="6" xfId="0" applyFont="1" applyFill="1" applyBorder="1" applyAlignment="1">
      <alignment horizontal="right" vertical="center" wrapText="1"/>
    </xf>
    <xf numFmtId="0" fontId="40" fillId="7" borderId="60" xfId="0" applyFont="1" applyFill="1" applyBorder="1" applyAlignment="1">
      <alignment horizontal="right" vertical="center" wrapText="1"/>
    </xf>
    <xf numFmtId="0" fontId="3" fillId="3" borderId="55" xfId="0" applyFont="1" applyFill="1" applyBorder="1" applyAlignment="1">
      <alignment horizontal="right" vertical="center" wrapText="1"/>
    </xf>
    <xf numFmtId="0" fontId="3" fillId="3" borderId="56" xfId="0" applyFont="1" applyFill="1" applyBorder="1" applyAlignment="1">
      <alignment horizontal="right" vertical="center" wrapText="1"/>
    </xf>
    <xf numFmtId="0" fontId="40" fillId="7" borderId="50" xfId="0" applyFont="1" applyFill="1" applyBorder="1" applyAlignment="1">
      <alignment horizontal="left" vertical="center" wrapText="1"/>
    </xf>
    <xf numFmtId="0" fontId="40" fillId="7" borderId="51" xfId="0" applyFont="1" applyFill="1" applyBorder="1" applyAlignment="1">
      <alignment horizontal="left" vertical="center" wrapText="1"/>
    </xf>
    <xf numFmtId="0" fontId="40" fillId="7" borderId="52" xfId="0" applyFont="1" applyFill="1" applyBorder="1" applyAlignment="1">
      <alignment horizontal="left" vertical="center" wrapText="1"/>
    </xf>
    <xf numFmtId="0" fontId="40" fillId="7" borderId="53" xfId="0" applyFont="1" applyFill="1" applyBorder="1" applyAlignment="1">
      <alignment horizontal="right" vertical="center" wrapText="1"/>
    </xf>
    <xf numFmtId="0" fontId="40" fillId="7" borderId="0" xfId="0" applyFont="1" applyFill="1" applyAlignment="1">
      <alignment horizontal="right" vertical="center" wrapText="1"/>
    </xf>
    <xf numFmtId="0" fontId="40" fillId="7" borderId="54" xfId="0"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24" fillId="3" borderId="57" xfId="0" applyFont="1" applyFill="1" applyBorder="1" applyAlignment="1">
      <alignment horizontal="right" vertical="center" wrapText="1"/>
    </xf>
    <xf numFmtId="0" fontId="24" fillId="3" borderId="58" xfId="0" applyFont="1" applyFill="1" applyBorder="1" applyAlignment="1">
      <alignment horizontal="right" vertical="center" wrapText="1"/>
    </xf>
    <xf numFmtId="0" fontId="8" fillId="3" borderId="22"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8" borderId="71" xfId="0" applyFont="1" applyFill="1" applyBorder="1" applyAlignment="1">
      <alignment horizontal="center" vertical="center" wrapText="1"/>
    </xf>
    <xf numFmtId="0" fontId="3" fillId="8" borderId="74" xfId="0" applyFont="1" applyFill="1" applyBorder="1" applyAlignment="1">
      <alignment horizontal="center" vertical="center" wrapText="1"/>
    </xf>
    <xf numFmtId="0" fontId="3" fillId="3" borderId="33"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4" fillId="3" borderId="39" xfId="0" applyFont="1" applyFill="1" applyBorder="1" applyAlignment="1">
      <alignment horizontal="right" vertical="center" wrapText="1"/>
    </xf>
    <xf numFmtId="0" fontId="24" fillId="3" borderId="37" xfId="0" applyFont="1" applyFill="1" applyBorder="1" applyAlignment="1">
      <alignment horizontal="right" vertical="center" wrapText="1"/>
    </xf>
    <xf numFmtId="0" fontId="3" fillId="3" borderId="39" xfId="0" applyFont="1" applyFill="1" applyBorder="1" applyAlignment="1">
      <alignment horizontal="right" vertical="center" wrapText="1"/>
    </xf>
    <xf numFmtId="0" fontId="24" fillId="0" borderId="0" xfId="0" applyFont="1" applyAlignment="1">
      <alignment horizontal="left"/>
    </xf>
    <xf numFmtId="0" fontId="24" fillId="0" borderId="0" xfId="0" applyFont="1" applyAlignment="1">
      <alignment horizontal="left" wrapText="1"/>
    </xf>
    <xf numFmtId="0" fontId="2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8" xfId="0" applyFont="1" applyBorder="1" applyAlignment="1">
      <alignment horizontal="left" vertical="center"/>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0" fontId="3" fillId="0" borderId="33" xfId="0" applyFont="1" applyBorder="1" applyAlignment="1">
      <alignment vertical="center" wrapText="1"/>
    </xf>
    <xf numFmtId="0" fontId="3" fillId="0" borderId="33" xfId="0" applyFont="1" applyBorder="1" applyAlignment="1">
      <alignment vertical="center"/>
    </xf>
    <xf numFmtId="0" fontId="8" fillId="0" borderId="33" xfId="0" applyFont="1" applyBorder="1" applyAlignment="1">
      <alignment vertical="center" wrapText="1"/>
    </xf>
    <xf numFmtId="0" fontId="8" fillId="0" borderId="33" xfId="0" applyFont="1" applyBorder="1" applyAlignment="1">
      <alignment vertical="center"/>
    </xf>
    <xf numFmtId="0" fontId="3" fillId="0" borderId="8" xfId="0" applyFont="1" applyBorder="1" applyAlignment="1">
      <alignment horizontal="left" vertical="center"/>
    </xf>
    <xf numFmtId="0" fontId="27" fillId="0" borderId="0" xfId="0" applyFont="1" applyAlignment="1">
      <alignment horizontal="left"/>
    </xf>
    <xf numFmtId="0" fontId="40" fillId="9" borderId="44" xfId="0" applyFont="1" applyFill="1" applyBorder="1" applyAlignment="1">
      <alignment horizontal="left" vertical="center" wrapText="1"/>
    </xf>
    <xf numFmtId="0" fontId="40" fillId="9" borderId="45" xfId="0" applyFont="1" applyFill="1" applyBorder="1" applyAlignment="1">
      <alignment horizontal="left" vertical="center" wrapText="1"/>
    </xf>
    <xf numFmtId="0" fontId="40" fillId="9" borderId="46" xfId="0" applyFont="1" applyFill="1" applyBorder="1" applyAlignment="1">
      <alignment horizontal="left" vertical="center" wrapText="1"/>
    </xf>
    <xf numFmtId="0" fontId="3" fillId="0" borderId="33" xfId="0" applyFont="1" applyBorder="1" applyAlignment="1">
      <alignment horizontal="center" vertical="center" wrapText="1"/>
    </xf>
    <xf numFmtId="0" fontId="3" fillId="0" borderId="0" xfId="0" applyFont="1" applyAlignment="1">
      <alignment horizontal="left" vertical="center"/>
    </xf>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horizontal="left" vertical="center"/>
    </xf>
    <xf numFmtId="0" fontId="3" fillId="0" borderId="33" xfId="0" applyFont="1" applyBorder="1" applyAlignment="1">
      <alignment horizontal="center" vertical="center"/>
    </xf>
    <xf numFmtId="0" fontId="3" fillId="6" borderId="8" xfId="0" applyFont="1" applyFill="1" applyBorder="1" applyAlignment="1">
      <alignment horizontal="center" vertical="center" wrapText="1"/>
    </xf>
    <xf numFmtId="0" fontId="43" fillId="0" borderId="0" xfId="0" applyFont="1" applyAlignment="1">
      <alignment horizontal="left" vertical="center" wrapText="1"/>
    </xf>
    <xf numFmtId="0" fontId="3" fillId="0" borderId="83" xfId="0" applyFont="1" applyBorder="1" applyAlignment="1">
      <alignment horizontal="center" vertical="center"/>
    </xf>
    <xf numFmtId="0" fontId="3" fillId="0" borderId="84" xfId="0" applyFont="1" applyBorder="1" applyAlignment="1">
      <alignment horizontal="center" vertical="center"/>
    </xf>
    <xf numFmtId="172" fontId="8" fillId="0" borderId="83" xfId="0" applyNumberFormat="1" applyFont="1" applyBorder="1" applyAlignment="1">
      <alignment horizontal="center" vertical="center"/>
    </xf>
    <xf numFmtId="172" fontId="8" fillId="0" borderId="84" xfId="0" applyNumberFormat="1" applyFont="1" applyBorder="1" applyAlignment="1">
      <alignment horizontal="center" vertical="center"/>
    </xf>
    <xf numFmtId="0" fontId="3" fillId="3" borderId="22" xfId="0" applyFont="1" applyFill="1" applyBorder="1" applyAlignment="1">
      <alignment horizontal="center" vertical="center" wrapText="1"/>
    </xf>
    <xf numFmtId="0" fontId="3" fillId="3" borderId="36" xfId="0" applyFont="1" applyFill="1" applyBorder="1" applyAlignment="1">
      <alignment horizontal="center" vertical="center" wrapText="1"/>
    </xf>
    <xf numFmtId="172" fontId="3" fillId="0" borderId="83" xfId="0" applyNumberFormat="1" applyFont="1" applyBorder="1" applyAlignment="1">
      <alignment horizontal="center" vertical="center"/>
    </xf>
    <xf numFmtId="172" fontId="3" fillId="0" borderId="84" xfId="0" applyNumberFormat="1" applyFont="1" applyBorder="1" applyAlignment="1">
      <alignment horizontal="center" vertical="center"/>
    </xf>
    <xf numFmtId="0" fontId="40" fillId="3" borderId="22" xfId="0" applyFont="1" applyFill="1" applyBorder="1" applyAlignment="1">
      <alignment horizontal="justify" vertical="center" wrapText="1"/>
    </xf>
    <xf numFmtId="0" fontId="40" fillId="3" borderId="24" xfId="0" applyFont="1" applyFill="1" applyBorder="1" applyAlignment="1">
      <alignment horizontal="justify" vertical="center"/>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2" xfId="0" applyFont="1" applyBorder="1" applyAlignment="1">
      <alignment horizontal="center" vertical="center" wrapText="1"/>
    </xf>
    <xf numFmtId="0" fontId="3" fillId="3" borderId="22"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24" fillId="3" borderId="23"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4" fillId="0" borderId="7" xfId="0" applyFont="1" applyBorder="1" applyAlignment="1">
      <alignment horizontal="left" vertical="center" wrapText="1"/>
    </xf>
    <xf numFmtId="0" fontId="33" fillId="0" borderId="35" xfId="0" applyFont="1" applyBorder="1" applyAlignment="1">
      <alignment horizontal="center" vertical="top"/>
    </xf>
    <xf numFmtId="0" fontId="33" fillId="0" borderId="39" xfId="0" applyFont="1" applyBorder="1" applyAlignment="1">
      <alignment horizontal="center" vertical="top"/>
    </xf>
    <xf numFmtId="0" fontId="33" fillId="0" borderId="37" xfId="0" applyFont="1" applyBorder="1" applyAlignment="1">
      <alignment horizontal="center" vertical="top"/>
    </xf>
    <xf numFmtId="0" fontId="38" fillId="0" borderId="0" xfId="1" applyFont="1" applyFill="1" applyBorder="1" applyAlignment="1" applyProtection="1">
      <alignment horizontal="left" vertical="center"/>
    </xf>
    <xf numFmtId="0" fontId="40" fillId="7" borderId="30" xfId="0" applyFont="1" applyFill="1" applyBorder="1" applyAlignment="1">
      <alignment horizontal="left" vertical="center" wrapText="1"/>
    </xf>
    <xf numFmtId="0" fontId="40" fillId="7" borderId="31" xfId="0" applyFont="1" applyFill="1" applyBorder="1" applyAlignment="1">
      <alignment horizontal="left" vertical="center"/>
    </xf>
    <xf numFmtId="0" fontId="40" fillId="7" borderId="32" xfId="0" applyFont="1" applyFill="1" applyBorder="1" applyAlignment="1">
      <alignment horizontal="left" vertical="center"/>
    </xf>
    <xf numFmtId="0" fontId="8" fillId="7" borderId="8" xfId="0" applyFont="1" applyFill="1" applyBorder="1" applyAlignment="1">
      <alignment horizontal="center" vertical="center" wrapText="1"/>
    </xf>
    <xf numFmtId="0" fontId="8" fillId="7" borderId="34" xfId="0" applyFont="1" applyFill="1" applyBorder="1" applyAlignment="1">
      <alignment horizontal="center" vertical="center"/>
    </xf>
    <xf numFmtId="0" fontId="3" fillId="0" borderId="33" xfId="0" applyFont="1" applyBorder="1" applyAlignment="1">
      <alignment horizontal="right" vertical="center" wrapText="1"/>
    </xf>
    <xf numFmtId="0" fontId="3" fillId="0" borderId="8" xfId="0" applyFont="1" applyBorder="1" applyAlignment="1">
      <alignment horizontal="right" vertical="center" wrapText="1"/>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3" fillId="0" borderId="41" xfId="0" applyFont="1" applyBorder="1" applyAlignment="1">
      <alignment horizontal="center" vertical="top"/>
    </xf>
    <xf numFmtId="0" fontId="8" fillId="3" borderId="22"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8" fillId="0" borderId="23" xfId="0" applyFont="1" applyBorder="1" applyAlignment="1">
      <alignment horizontal="center" vertical="center" wrapText="1"/>
    </xf>
    <xf numFmtId="0" fontId="41" fillId="3" borderId="24" xfId="0" applyFont="1" applyFill="1" applyBorder="1" applyAlignment="1">
      <alignment horizontal="left" vertical="center" wrapText="1"/>
    </xf>
    <xf numFmtId="0" fontId="41" fillId="3" borderId="42" xfId="0" applyFont="1" applyFill="1" applyBorder="1" applyAlignment="1">
      <alignment horizontal="left" vertical="center" wrapText="1"/>
    </xf>
    <xf numFmtId="0" fontId="45" fillId="0" borderId="35" xfId="0" applyFont="1" applyBorder="1" applyAlignment="1">
      <alignment horizontal="center" vertical="top"/>
    </xf>
    <xf numFmtId="0" fontId="45" fillId="0" borderId="39" xfId="0" applyFont="1" applyBorder="1" applyAlignment="1">
      <alignment horizontal="center" vertical="top"/>
    </xf>
    <xf numFmtId="0" fontId="45" fillId="0" borderId="37" xfId="0" applyFont="1" applyBorder="1" applyAlignment="1">
      <alignment horizontal="center" vertical="top"/>
    </xf>
    <xf numFmtId="0" fontId="3" fillId="3" borderId="2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3" fillId="7" borderId="22" xfId="0" applyFont="1" applyFill="1" applyBorder="1" applyAlignment="1">
      <alignment horizontal="center" vertical="center" wrapText="1"/>
    </xf>
    <xf numFmtId="0" fontId="33" fillId="7" borderId="36" xfId="0" applyFont="1" applyFill="1" applyBorder="1" applyAlignment="1">
      <alignment horizontal="center" vertical="center"/>
    </xf>
    <xf numFmtId="0" fontId="33" fillId="7" borderId="8" xfId="0" applyFont="1" applyFill="1" applyBorder="1" applyAlignment="1">
      <alignment horizontal="center" vertical="center" wrapText="1"/>
    </xf>
    <xf numFmtId="0" fontId="33" fillId="7" borderId="8" xfId="0" applyFont="1" applyFill="1" applyBorder="1" applyAlignment="1">
      <alignment horizontal="center" vertical="center"/>
    </xf>
    <xf numFmtId="0" fontId="3" fillId="3" borderId="0" xfId="0" applyFont="1" applyFill="1" applyAlignment="1">
      <alignment horizontal="left" vertical="center" wrapText="1"/>
    </xf>
    <xf numFmtId="0" fontId="3" fillId="0" borderId="24" xfId="0" applyFont="1" applyBorder="1" applyAlignment="1">
      <alignment horizontal="center" vertical="center"/>
    </xf>
    <xf numFmtId="0" fontId="41" fillId="3" borderId="23"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64" xfId="0" applyFont="1" applyFill="1" applyBorder="1" applyAlignment="1">
      <alignment horizontal="left" vertical="center" wrapText="1"/>
    </xf>
    <xf numFmtId="0" fontId="38" fillId="0" borderId="0" xfId="1" applyFont="1" applyFill="1" applyBorder="1" applyAlignment="1" applyProtection="1">
      <alignment horizontal="left"/>
    </xf>
    <xf numFmtId="0" fontId="3"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45" fillId="0" borderId="55" xfId="0" applyFont="1" applyBorder="1" applyAlignment="1">
      <alignment horizontal="center" vertical="top"/>
    </xf>
    <xf numFmtId="0" fontId="45" fillId="0" borderId="61" xfId="0" applyFont="1" applyBorder="1" applyAlignment="1">
      <alignment horizontal="center" vertical="top"/>
    </xf>
    <xf numFmtId="0" fontId="45" fillId="0" borderId="58" xfId="0" applyFont="1" applyBorder="1" applyAlignment="1">
      <alignment horizontal="center" vertical="top"/>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9" xfId="0" applyFont="1" applyBorder="1" applyAlignment="1">
      <alignment horizontal="center" vertical="center" wrapText="1"/>
    </xf>
    <xf numFmtId="0" fontId="3" fillId="10" borderId="8" xfId="0" applyFont="1" applyFill="1" applyBorder="1" applyAlignment="1">
      <alignment horizontal="center" vertical="center"/>
    </xf>
    <xf numFmtId="0" fontId="3" fillId="0" borderId="8" xfId="0" applyFont="1" applyBorder="1" applyAlignment="1">
      <alignment horizontal="center" vertical="center"/>
    </xf>
    <xf numFmtId="2" fontId="3" fillId="6" borderId="8" xfId="0" applyNumberFormat="1" applyFont="1" applyFill="1" applyBorder="1" applyAlignment="1">
      <alignment horizontal="center" vertical="center" wrapText="1"/>
    </xf>
    <xf numFmtId="164" fontId="8" fillId="6" borderId="8"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48" fillId="9" borderId="8" xfId="0" applyFont="1" applyFill="1" applyBorder="1" applyAlignment="1">
      <alignment horizontal="center" vertical="center" wrapText="1"/>
    </xf>
    <xf numFmtId="0" fontId="48" fillId="9" borderId="34" xfId="0" applyFont="1" applyFill="1" applyBorder="1" applyAlignment="1">
      <alignment horizontal="center" vertical="center"/>
    </xf>
    <xf numFmtId="0" fontId="8" fillId="3" borderId="24" xfId="0" applyFont="1" applyFill="1" applyBorder="1" applyAlignment="1">
      <alignment horizontal="center" vertical="center"/>
    </xf>
    <xf numFmtId="0" fontId="40" fillId="3" borderId="0" xfId="0" applyFont="1" applyFill="1" applyAlignment="1">
      <alignment horizontal="left" vertical="center" wrapText="1"/>
    </xf>
    <xf numFmtId="0" fontId="40" fillId="3" borderId="3" xfId="0" applyFont="1" applyFill="1" applyBorder="1" applyAlignment="1">
      <alignment horizontal="left" vertical="top" wrapText="1"/>
    </xf>
    <xf numFmtId="0" fontId="40" fillId="3" borderId="2" xfId="0" applyFont="1" applyFill="1" applyBorder="1" applyAlignment="1">
      <alignment horizontal="left" vertical="top" wrapText="1"/>
    </xf>
    <xf numFmtId="0" fontId="40" fillId="3" borderId="3" xfId="0" applyFont="1" applyFill="1" applyBorder="1" applyAlignment="1">
      <alignment horizontal="left" vertical="center" wrapText="1"/>
    </xf>
    <xf numFmtId="0" fontId="40" fillId="3" borderId="2" xfId="0" applyFont="1" applyFill="1" applyBorder="1" applyAlignment="1">
      <alignment horizontal="left" vertical="center" wrapText="1"/>
    </xf>
    <xf numFmtId="169" fontId="24" fillId="8" borderId="40" xfId="0" applyNumberFormat="1" applyFont="1" applyFill="1" applyBorder="1" applyAlignment="1">
      <alignment horizontal="center" vertical="center" wrapText="1"/>
    </xf>
    <xf numFmtId="169" fontId="24" fillId="8" borderId="38" xfId="0" applyNumberFormat="1" applyFont="1" applyFill="1" applyBorder="1" applyAlignment="1">
      <alignment horizontal="center" vertical="center" wrapText="1"/>
    </xf>
    <xf numFmtId="0" fontId="24" fillId="6" borderId="24"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33" fillId="0" borderId="57" xfId="0" applyFont="1" applyBorder="1" applyAlignment="1">
      <alignment horizontal="center" vertical="top"/>
    </xf>
    <xf numFmtId="0" fontId="33" fillId="0" borderId="61" xfId="0" applyFont="1" applyBorder="1" applyAlignment="1">
      <alignment horizontal="center" vertical="top"/>
    </xf>
    <xf numFmtId="0" fontId="33" fillId="0" borderId="56" xfId="0" applyFont="1" applyBorder="1" applyAlignment="1">
      <alignment horizontal="center" vertical="top"/>
    </xf>
    <xf numFmtId="0" fontId="33" fillId="0" borderId="68" xfId="0" applyFont="1" applyBorder="1" applyAlignment="1">
      <alignment horizontal="center" vertical="top"/>
    </xf>
    <xf numFmtId="0" fontId="41" fillId="3" borderId="69" xfId="0" applyFont="1" applyFill="1" applyBorder="1" applyAlignment="1">
      <alignment horizontal="justify" vertical="center" wrapText="1"/>
    </xf>
    <xf numFmtId="0" fontId="40" fillId="3" borderId="70" xfId="0" applyFont="1" applyFill="1" applyBorder="1" applyAlignment="1">
      <alignment horizontal="justify" vertical="center" wrapText="1"/>
    </xf>
    <xf numFmtId="0" fontId="8" fillId="3" borderId="28"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41" fillId="3" borderId="3" xfId="0" applyFont="1" applyFill="1" applyBorder="1" applyAlignment="1">
      <alignment horizontal="left" vertical="top" wrapText="1"/>
    </xf>
    <xf numFmtId="0" fontId="41" fillId="3" borderId="2" xfId="0" applyFont="1" applyFill="1" applyBorder="1" applyAlignment="1">
      <alignment horizontal="left" vertical="top" wrapText="1"/>
    </xf>
    <xf numFmtId="0" fontId="3" fillId="3" borderId="28"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41" fillId="3" borderId="3" xfId="0" applyFont="1" applyFill="1" applyBorder="1" applyAlignment="1">
      <alignment horizontal="left" vertical="center" wrapText="1"/>
    </xf>
    <xf numFmtId="0" fontId="41" fillId="3" borderId="2" xfId="0" applyFont="1" applyFill="1" applyBorder="1" applyAlignment="1">
      <alignment horizontal="left" vertical="center" wrapText="1"/>
    </xf>
    <xf numFmtId="0" fontId="24" fillId="3" borderId="15" xfId="0" applyFont="1" applyFill="1" applyBorder="1" applyAlignment="1">
      <alignment horizontal="left" vertical="top" wrapText="1"/>
    </xf>
    <xf numFmtId="0" fontId="24" fillId="3" borderId="18" xfId="0" applyFont="1" applyFill="1" applyBorder="1" applyAlignment="1">
      <alignment horizontal="left" vertical="top" wrapText="1"/>
    </xf>
    <xf numFmtId="0" fontId="3" fillId="3" borderId="23" xfId="0" applyFont="1" applyFill="1" applyBorder="1" applyAlignment="1">
      <alignment horizontal="center" vertical="center" wrapText="1"/>
    </xf>
    <xf numFmtId="0" fontId="40" fillId="3" borderId="3" xfId="0" applyFont="1" applyFill="1" applyBorder="1" applyAlignment="1">
      <alignment horizontal="justify" vertical="center" wrapText="1"/>
    </xf>
    <xf numFmtId="0" fontId="40" fillId="3" borderId="2" xfId="0" applyFont="1" applyFill="1" applyBorder="1" applyAlignment="1">
      <alignment horizontal="justify" vertical="center" wrapText="1"/>
    </xf>
    <xf numFmtId="0" fontId="25" fillId="3" borderId="15" xfId="0" applyFont="1" applyFill="1" applyBorder="1" applyAlignment="1">
      <alignment horizontal="left" vertical="top" wrapText="1"/>
    </xf>
    <xf numFmtId="0" fontId="25" fillId="3" borderId="18" xfId="0" applyFont="1" applyFill="1" applyBorder="1" applyAlignment="1">
      <alignment horizontal="left" vertical="top" wrapText="1"/>
    </xf>
    <xf numFmtId="0" fontId="3" fillId="6" borderId="80" xfId="0" applyFont="1" applyFill="1" applyBorder="1" applyAlignment="1">
      <alignment horizontal="center" vertical="center" wrapText="1"/>
    </xf>
    <xf numFmtId="0" fontId="3" fillId="6" borderId="82"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40" fillId="7" borderId="80" xfId="0" applyFont="1" applyFill="1" applyBorder="1" applyAlignment="1">
      <alignment horizontal="left" wrapText="1"/>
    </xf>
    <xf numFmtId="0" fontId="40" fillId="7" borderId="81" xfId="0" applyFont="1" applyFill="1" applyBorder="1" applyAlignment="1">
      <alignment horizontal="left" wrapText="1"/>
    </xf>
    <xf numFmtId="0" fontId="40" fillId="7" borderId="82" xfId="0" applyFont="1" applyFill="1" applyBorder="1" applyAlignment="1">
      <alignment horizontal="left" wrapText="1"/>
    </xf>
    <xf numFmtId="0" fontId="3" fillId="7" borderId="80" xfId="0" applyFont="1" applyFill="1" applyBorder="1" applyAlignment="1">
      <alignment horizontal="center" vertical="center" wrapText="1"/>
    </xf>
    <xf numFmtId="0" fontId="3" fillId="7" borderId="81" xfId="0" applyFont="1" applyFill="1" applyBorder="1" applyAlignment="1">
      <alignment horizontal="center" vertical="center" wrapText="1"/>
    </xf>
    <xf numFmtId="0" fontId="3" fillId="7" borderId="82"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8" xfId="0" applyFont="1" applyBorder="1" applyAlignment="1">
      <alignment horizontal="center" vertical="center"/>
    </xf>
  </cellXfs>
  <cellStyles count="168">
    <cellStyle name="20% - Accent1" xfId="34" xr:uid="{A8C70C12-D39D-4B90-8689-C27F1C213DF8}"/>
    <cellStyle name="20% - Accent2" xfId="35" xr:uid="{E0AD10C1-A128-4F63-ADFD-33FF03EE6526}"/>
    <cellStyle name="20% - Accent3" xfId="36" xr:uid="{0A765F3B-0AE4-4B52-9114-10A4FD85B9BA}"/>
    <cellStyle name="20% - Accent4" xfId="37" xr:uid="{35ACE1CF-0A9E-4560-939A-69D0AE625BDD}"/>
    <cellStyle name="20% - Accent5" xfId="38" xr:uid="{C0E13891-DA09-45B5-9A7A-87A87A495206}"/>
    <cellStyle name="20% - Accent6" xfId="39" xr:uid="{FD211D50-A9BC-472E-A2AB-35C231081211}"/>
    <cellStyle name="40% - Accent1" xfId="40" xr:uid="{2956687D-1FD7-40AF-AF47-C503D3B4492F}"/>
    <cellStyle name="40% - Accent2" xfId="41" xr:uid="{AA88C5CA-BAE0-493D-911B-6515331FB1BC}"/>
    <cellStyle name="40% - Accent3" xfId="42" xr:uid="{50E92B24-92B5-48FE-A8EA-AB149CB6631A}"/>
    <cellStyle name="40% - Accent4" xfId="43" xr:uid="{32E442EE-0B27-4FB7-AA43-E1CE33B8E2FA}"/>
    <cellStyle name="40% - Accent5" xfId="44" xr:uid="{A3871DBD-1453-49A0-A616-FA950C7FD01C}"/>
    <cellStyle name="40% - Accent6" xfId="45" xr:uid="{03643006-EC58-4C0C-8873-1F00DC519637}"/>
    <cellStyle name="60% - Accent1" xfId="46" xr:uid="{A1824E0F-C34F-4456-B499-483C48F981C0}"/>
    <cellStyle name="60% - Accent2" xfId="47" xr:uid="{6723E262-3050-4328-8B7E-DAE6B01DCD94}"/>
    <cellStyle name="60% - Accent3" xfId="48" xr:uid="{C89314A5-22CC-4C03-9A27-DAA7DE60BB50}"/>
    <cellStyle name="60% - Accent4" xfId="49" xr:uid="{D672DFD6-DA83-451F-8E7E-DB09F5C69C94}"/>
    <cellStyle name="60% - Accent5" xfId="50" xr:uid="{9D671092-E937-4DC8-A73F-C847BF6F4302}"/>
    <cellStyle name="60% - Accent6" xfId="51" xr:uid="{42F0FC23-71A1-44CC-A2EA-861E676D03A3}"/>
    <cellStyle name="Accent1" xfId="52" xr:uid="{F0BBC7A6-A83B-4E11-92DF-6BC74AE098A1}"/>
    <cellStyle name="Accent1 - 20%" xfId="53" xr:uid="{B9947CA6-2B12-4716-A1D0-5566AA3AAF28}"/>
    <cellStyle name="Accent1 - 40%" xfId="54" xr:uid="{0829C357-8B27-4678-BEFB-DE4A4D30C72D}"/>
    <cellStyle name="Accent1 - 60%" xfId="55" xr:uid="{A4970B45-92B5-4B46-95FE-EB2519A9D1C3}"/>
    <cellStyle name="Accent2" xfId="56" xr:uid="{D7A015B8-F3EB-49E9-81E5-A9ED162D68F3}"/>
    <cellStyle name="Accent2 - 20%" xfId="57" xr:uid="{0791DD4A-5413-4692-9CD9-EDCB17A61116}"/>
    <cellStyle name="Accent2 - 40%" xfId="58" xr:uid="{3EC83528-6082-4AAA-907D-75C79C80FA9E}"/>
    <cellStyle name="Accent2 - 60%" xfId="59" xr:uid="{4335BEBB-C111-48F3-A389-392D282E1229}"/>
    <cellStyle name="Accent3" xfId="60" xr:uid="{FD1C2517-426D-41BA-8590-94F5D21D9FA1}"/>
    <cellStyle name="Accent3 - 20%" xfId="61" xr:uid="{0647EAEF-8423-455D-9373-385FBF99C013}"/>
    <cellStyle name="Accent3 - 40%" xfId="62" xr:uid="{BE171AD2-4E97-479E-A82D-4A9F9662363C}"/>
    <cellStyle name="Accent3 - 60%" xfId="63" xr:uid="{691263E7-4FEE-4CBC-9117-4271BF07746D}"/>
    <cellStyle name="Accent4" xfId="64" xr:uid="{CF7503CD-B9EF-41F0-A5DC-E4A6CFA21D8B}"/>
    <cellStyle name="Accent4 - 20%" xfId="65" xr:uid="{0BDC1CD4-5E0E-4703-99D6-B0405DEE4D30}"/>
    <cellStyle name="Accent4 - 40%" xfId="66" xr:uid="{1B82C9C2-35ED-4E29-82A9-23EDB5287CC5}"/>
    <cellStyle name="Accent4 - 60%" xfId="67" xr:uid="{335F6CA6-1533-41C9-9F86-AFAC60378D6F}"/>
    <cellStyle name="Accent5" xfId="68" xr:uid="{59CF52E5-2786-4B6E-8886-D6157531BA21}"/>
    <cellStyle name="Accent5 - 20%" xfId="69" xr:uid="{570DD030-B246-448C-B197-8AEA0D160C9A}"/>
    <cellStyle name="Accent5 - 40%" xfId="70" xr:uid="{EA510D03-7177-49A2-BE57-7B684DCC5308}"/>
    <cellStyle name="Accent5 - 60%" xfId="71" xr:uid="{C69D3AA8-3901-49CD-9A14-3F09D3B50875}"/>
    <cellStyle name="Accent6" xfId="72" xr:uid="{05BF3DBC-29F9-4336-A67A-5D77CC902F24}"/>
    <cellStyle name="Accent6 - 20%" xfId="73" xr:uid="{8CB94EF4-712E-4B3A-BCD3-1063BA29AB5F}"/>
    <cellStyle name="Accent6 - 40%" xfId="74" xr:uid="{F95DAEF7-9F4E-49F8-B5F9-4429A9398A2D}"/>
    <cellStyle name="Accent6 - 60%" xfId="75" xr:uid="{7E1ECEDC-29F8-4372-B619-8F96A677A7B8}"/>
    <cellStyle name="Bad" xfId="76" xr:uid="{4640ED2C-D2CE-4EBB-8DB9-5AD06ED97695}"/>
    <cellStyle name="Calculation" xfId="77" xr:uid="{968C96A6-1988-4DE7-9DA2-C4B43895B562}"/>
    <cellStyle name="Check Cell" xfId="78" xr:uid="{0E591AA3-38BE-43F1-8855-F534F319D61D}"/>
    <cellStyle name="Comma 2" xfId="14" xr:uid="{FDC88003-5077-4848-A48C-C4D808A0756C}"/>
    <cellStyle name="Comma 2 2" xfId="165" xr:uid="{AB9E6B9E-B0B7-4918-8018-FC98C6C37166}"/>
    <cellStyle name="Emphasis 1" xfId="79" xr:uid="{5745CBEC-8B94-41AF-8A61-DF032F744710}"/>
    <cellStyle name="Emphasis 2" xfId="80" xr:uid="{A463C08B-D265-4048-9D86-26A534F0A0B6}"/>
    <cellStyle name="Emphasis 3" xfId="81" xr:uid="{4F03D190-A7C4-4486-B4E6-27CB3808F61A}"/>
    <cellStyle name="Explanatory Text" xfId="82" xr:uid="{D04C769B-C3F2-415C-B7F5-51DA61B24560}"/>
    <cellStyle name="Good" xfId="83" xr:uid="{2A1AF742-AE36-42D5-953F-7D9C59875422}"/>
    <cellStyle name="Heading 1" xfId="84" xr:uid="{57EBA523-51DD-4FEC-BE10-2F76311299DC}"/>
    <cellStyle name="Heading 2" xfId="85" xr:uid="{7E71D5D3-0415-4A5A-9247-97266024F12C}"/>
    <cellStyle name="Heading 3" xfId="86" xr:uid="{27A39A44-DBA3-4EB5-9838-F78B75514651}"/>
    <cellStyle name="Heading 4" xfId="87" xr:uid="{7857811F-6181-4780-B35A-E11AB2CCF9F0}"/>
    <cellStyle name="Hipersaitas" xfId="1" builtinId="8"/>
    <cellStyle name="Hipersaitas 2" xfId="10" xr:uid="{096D2C8F-9EB9-436D-8A32-EDE783D2EAB7}"/>
    <cellStyle name="Hipersaitas 2 2" xfId="150" xr:uid="{B1C602C5-B4CA-419F-9316-0130831B8190}"/>
    <cellStyle name="Hipersaitas 3" xfId="166" xr:uid="{6359FEBF-C1B2-4C30-9F75-EDF8AF0ECB92}"/>
    <cellStyle name="Input" xfId="88" xr:uid="{2B725B48-1266-4CE1-B48F-68A70ADF2617}"/>
    <cellStyle name="Įprastas" xfId="0" builtinId="0"/>
    <cellStyle name="Įprastas 10" xfId="142" xr:uid="{EA2579AB-5633-4B5A-964A-CCB44B3A459C}"/>
    <cellStyle name="Įprastas 11" xfId="143" xr:uid="{D772C758-2887-4026-AF03-D633ED8118B2}"/>
    <cellStyle name="Įprastas 12" xfId="144" xr:uid="{93872DBC-66B3-4F30-A35E-E4A9BDB05C1E}"/>
    <cellStyle name="Įprastas 13" xfId="145" xr:uid="{C5B618A0-2234-4415-9B34-EF6414C1C7B2}"/>
    <cellStyle name="Įprastas 14" xfId="147" xr:uid="{7B92E3C7-D26A-49F6-A2BE-3F9BBC9E3D22}"/>
    <cellStyle name="Įprastas 15" xfId="149" xr:uid="{61702116-DAA4-44EE-BD37-4BEE8AC3535E}"/>
    <cellStyle name="Įprastas 15 2" xfId="155" xr:uid="{89ED5773-FED2-4033-B799-203634579D8E}"/>
    <cellStyle name="Įprastas 16" xfId="152" xr:uid="{19B8D2ED-F7D3-4771-B004-3FDEC3DCFBCC}"/>
    <cellStyle name="Įprastas 17" xfId="153" xr:uid="{B7C03552-2556-44D1-80A1-6A9B7120858E}"/>
    <cellStyle name="Įprastas 18" xfId="154" xr:uid="{95C6AD0A-A28D-4639-965E-9EEBBF818E02}"/>
    <cellStyle name="Įprastas 19" xfId="26" xr:uid="{5F5F6885-E6F5-4F96-ABDC-1A30E10DBAA2}"/>
    <cellStyle name="Įprastas 2" xfId="6" xr:uid="{C1665F56-0330-403D-B739-AC7AAF807FAB}"/>
    <cellStyle name="Įprastas 2 2" xfId="7" xr:uid="{595CEB3C-6F74-4AA0-BF79-63F3EE20B423}"/>
    <cellStyle name="Įprastas 2 2 2" xfId="21" xr:uid="{CAEA8CF0-F408-45BC-983A-918B2A236BD2}"/>
    <cellStyle name="Įprastas 2 2 2 2" xfId="25" xr:uid="{9A2E5154-FE69-4CBC-A9A6-77C174DE0505}"/>
    <cellStyle name="Įprastas 2 2 2 3" xfId="89" xr:uid="{814E2432-0EC7-4BA0-974A-87C5DC570590}"/>
    <cellStyle name="Įprastas 2 3" xfId="16" xr:uid="{1CA5A79E-B79C-4C2A-921E-33F3E467C3DD}"/>
    <cellStyle name="Įprastas 2 4" xfId="9" xr:uid="{E332973E-D39C-44E6-ADFC-7924A0610406}"/>
    <cellStyle name="Įprastas 20" xfId="161" xr:uid="{4176F0CD-58CF-4A5D-BF37-86ACDC45C327}"/>
    <cellStyle name="Įprastas 3" xfId="8" xr:uid="{9532CC19-640B-4D83-AA07-2B36C4853E51}"/>
    <cellStyle name="Įprastas 3 2" xfId="22" xr:uid="{AD5A99B0-3D84-49EA-85B5-DA5011478680}"/>
    <cellStyle name="Įprastas 3 3" xfId="17" xr:uid="{8688968F-816B-417E-8CE5-E70BC204478D}"/>
    <cellStyle name="Įprastas 3 4" xfId="12" xr:uid="{D82AA5E5-B954-4EC0-AA8C-7209F4F99A20}"/>
    <cellStyle name="Įprastas 4" xfId="13" xr:uid="{6031DA61-5BA2-44D9-BDB4-31C441B10415}"/>
    <cellStyle name="Įprastas 4 2" xfId="23" xr:uid="{72251AE7-5565-4955-A5D7-601BEB4F665D}"/>
    <cellStyle name="Įprastas 5" xfId="24" xr:uid="{EB877633-0517-4A84-BFB7-C1261DBBB660}"/>
    <cellStyle name="Įprastas 5 2" xfId="137" xr:uid="{B184F32C-3B15-437E-8D74-6DC600FC082F}"/>
    <cellStyle name="Įprastas 6" xfId="32" xr:uid="{8CB1C439-3E8A-48C8-A877-C0BE8B0DDF0E}"/>
    <cellStyle name="Įprastas 6 2" xfId="138" xr:uid="{BC94FC2E-D2EA-4CB7-B5E5-1468379252C9}"/>
    <cellStyle name="Įprastas 7" xfId="139" xr:uid="{57B0DD91-F984-40A3-B40E-CCC8673CC9CC}"/>
    <cellStyle name="Įprastas 8" xfId="140" xr:uid="{DAA6B141-D031-4197-B732-92B9773B54D6}"/>
    <cellStyle name="Įprastas 9" xfId="141" xr:uid="{96F4B1FC-54D0-46E0-88E1-7F959A0B5287}"/>
    <cellStyle name="Kablelis 2" xfId="19" xr:uid="{5FAFD0D5-4448-4F3F-B92A-B645ADA30275}"/>
    <cellStyle name="Kablelis 2 2" xfId="29" xr:uid="{6BC34967-A20C-4021-BB14-94F6743E868A}"/>
    <cellStyle name="Kablelis 3" xfId="27" xr:uid="{4A376E96-E747-47FE-9075-B3F25653BC2D}"/>
    <cellStyle name="Kablelis 4" xfId="33" xr:uid="{D4EC2106-34F3-4D3E-82AF-96B970F4D079}"/>
    <cellStyle name="Kablelis 5" xfId="151" xr:uid="{196AA3E8-E95A-43F4-B804-E9D07CCA2923}"/>
    <cellStyle name="Kablelis 6" xfId="159" xr:uid="{953C59EE-F1B9-4F0D-A52A-1096CE8B86A8}"/>
    <cellStyle name="Linked Cell" xfId="90" xr:uid="{5581DDCB-FEBF-40D4-B688-3E2A5072F46A}"/>
    <cellStyle name="Neutral" xfId="91" xr:uid="{948628D3-70D6-4BF6-B05F-01DD3DB48CAD}"/>
    <cellStyle name="Normal" xfId="160" xr:uid="{8A80E649-EADC-4B6D-9AEE-10489DCCC08D}"/>
    <cellStyle name="Normal 18" xfId="3" xr:uid="{1A4A2765-3B13-476A-B988-826493B987E5}"/>
    <cellStyle name="Normal 2" xfId="11" xr:uid="{2BF2F7F9-465A-4206-9805-852CA2C6ADC8}"/>
    <cellStyle name="Normal 2 2" xfId="167" xr:uid="{98E67926-25A0-4774-96BC-90074A3B355C}"/>
    <cellStyle name="Normal 2 3" xfId="31" xr:uid="{AED0EB15-0873-4B24-9BDF-45504D20311B}"/>
    <cellStyle name="Normal 3" xfId="20" xr:uid="{EA4C7393-6659-461B-AF8C-36246724B24F}"/>
    <cellStyle name="Normal 3 2" xfId="163" xr:uid="{92E643D6-D221-4671-8686-207908261DB8}"/>
    <cellStyle name="Normal 3 3" xfId="30" xr:uid="{C6FE94AD-36C9-4596-BAC9-A06EDD19BDA4}"/>
    <cellStyle name="Normal 4" xfId="4" xr:uid="{C366F9C7-F114-4B72-8C90-9D319E9CA060}"/>
    <cellStyle name="Normal 4 2" xfId="164" xr:uid="{20E87197-C559-48F4-B94F-5DB5298CBE13}"/>
    <cellStyle name="Normal 4 3" xfId="146" xr:uid="{01003D9B-72F4-480F-B5DA-E07A12C8C6F0}"/>
    <cellStyle name="Normal 45" xfId="15" xr:uid="{7063B5CC-2ED7-4C7C-861B-845E7C007ECA}"/>
    <cellStyle name="Normal 5" xfId="5" xr:uid="{2DD1DBB4-8FD1-4DD8-8AD9-21E3254968C6}"/>
    <cellStyle name="Normal 5 2" xfId="148" xr:uid="{1A1BCFAA-5AC1-4D62-8B76-F1ED2DD95B81}"/>
    <cellStyle name="Normal 6" xfId="2" xr:uid="{39C61853-18A8-4376-BEEE-408C39E94774}"/>
    <cellStyle name="Normal_____3lentelė - 2,3,4 lapai_3_variantas" xfId="28" xr:uid="{02E3F4CE-2B6B-4090-9989-50807FA89DC3}"/>
    <cellStyle name="Note" xfId="92" xr:uid="{A8468F02-144F-47F7-8C79-3A77DB304CA2}"/>
    <cellStyle name="Output" xfId="93" xr:uid="{CC2832B0-AD18-48EF-B1A5-B1FF9370D512}"/>
    <cellStyle name="Paprastas_2012-08-17_PIT_2013Egle" xfId="158" xr:uid="{BDC6FBCB-B3FB-4310-B95D-924DE0E88615}"/>
    <cellStyle name="Percent 2" xfId="18" xr:uid="{627AB059-A2FE-4B67-867A-58B258A6BB51}"/>
    <cellStyle name="Percent 2 2" xfId="162" xr:uid="{FFEE9E68-7AB2-4A16-83FE-84870C613F3E}"/>
    <cellStyle name="Procentai 2" xfId="157" xr:uid="{F73DE28A-E5F4-4349-B662-6FC3D0C401C9}"/>
    <cellStyle name="SAPBEXaggData" xfId="94" xr:uid="{282D9F30-727B-491D-A0A7-EF7BE3A66203}"/>
    <cellStyle name="SAPBEXaggDataEmph" xfId="95" xr:uid="{C9CE652E-47A5-4C32-879A-60AFF40FA6E9}"/>
    <cellStyle name="SAPBEXaggItem" xfId="96" xr:uid="{15547D8E-2630-4450-B979-5398CCD0672F}"/>
    <cellStyle name="SAPBEXaggItemX" xfId="97" xr:uid="{7F77938B-8CE7-47A9-A7EE-A5A02416FCBC}"/>
    <cellStyle name="SAPBEXchaText" xfId="98" xr:uid="{26977734-2B37-4BAB-A492-DBEF9CA0274D}"/>
    <cellStyle name="SAPBEXexcBad7" xfId="99" xr:uid="{92DD9B4E-62A6-42F2-B7FE-B126E2740EBF}"/>
    <cellStyle name="SAPBEXexcBad8" xfId="100" xr:uid="{DDA0A181-755B-4D2B-B31A-2622F2809EFC}"/>
    <cellStyle name="SAPBEXexcBad9" xfId="101" xr:uid="{67E5A756-49CA-410B-BC0C-FEACF0E766DB}"/>
    <cellStyle name="SAPBEXexcCritical4" xfId="102" xr:uid="{93C97DA9-B9D1-413D-909A-6C2B737EF84C}"/>
    <cellStyle name="SAPBEXexcCritical5" xfId="103" xr:uid="{4360EB37-55F8-4447-B9FE-425195531A24}"/>
    <cellStyle name="SAPBEXexcCritical6" xfId="104" xr:uid="{543360B9-0A0D-4EA2-916F-199CE5B38D6C}"/>
    <cellStyle name="SAPBEXexcGood1" xfId="105" xr:uid="{705555DE-F132-47B8-A36D-64761108B110}"/>
    <cellStyle name="SAPBEXexcGood2" xfId="106" xr:uid="{A4717BD7-383E-486B-972F-FAF7D672185D}"/>
    <cellStyle name="SAPBEXexcGood3" xfId="107" xr:uid="{0AF5E3ED-DE96-44BF-99DF-146D19BDCF15}"/>
    <cellStyle name="SAPBEXfilterDrill" xfId="108" xr:uid="{0871A94E-93A3-4CC0-B894-73FDA47A6189}"/>
    <cellStyle name="SAPBEXfilterItem" xfId="109" xr:uid="{21B91C42-38C3-44BC-A07A-473A334DE35E}"/>
    <cellStyle name="SAPBEXfilterText" xfId="110" xr:uid="{97749099-C728-4021-910D-03BF74C92D12}"/>
    <cellStyle name="SAPBEXformats" xfId="111" xr:uid="{0C0D1677-2771-4B0B-B52C-4A32C913AA06}"/>
    <cellStyle name="SAPBEXheaderItem" xfId="112" xr:uid="{B5A1EA3F-4D36-44AB-9841-FF434FB1604C}"/>
    <cellStyle name="SAPBEXheaderText" xfId="113" xr:uid="{6E94CD61-0A88-4838-A637-6DB1BDE6846C}"/>
    <cellStyle name="SAPBEXHLevel0" xfId="114" xr:uid="{9BE3A956-3A1C-40A1-A1D8-E64808A30FA0}"/>
    <cellStyle name="SAPBEXHLevel0X" xfId="115" xr:uid="{F3CE1660-E2E3-409F-AC54-FDEBCB0220D0}"/>
    <cellStyle name="SAPBEXHLevel1" xfId="116" xr:uid="{7295DD71-5CFC-492F-A497-C38829093A67}"/>
    <cellStyle name="SAPBEXHLevel1X" xfId="117" xr:uid="{D64A3360-D8F9-4F08-AE02-141FDECB51E6}"/>
    <cellStyle name="SAPBEXHLevel2" xfId="118" xr:uid="{5A3C8F20-7156-49DF-9A9F-FCDDD9EAB370}"/>
    <cellStyle name="SAPBEXHLevel2X" xfId="119" xr:uid="{FC378215-DCFD-4B3E-BE35-65F365B70C92}"/>
    <cellStyle name="SAPBEXHLevel3" xfId="120" xr:uid="{4130FC0D-6352-471B-850B-0AA6FEB2A276}"/>
    <cellStyle name="SAPBEXHLevel3X" xfId="121" xr:uid="{379EBB1E-C040-484A-8C9C-7E8B5B79F2D7}"/>
    <cellStyle name="SAPBEXinputData" xfId="122" xr:uid="{163BAD2E-DDF6-44BE-91F0-9D07B76622B5}"/>
    <cellStyle name="SAPBEXresData" xfId="123" xr:uid="{A1D9878D-EEBE-4A3B-A6DC-22B816F1F98B}"/>
    <cellStyle name="SAPBEXresDataEmph" xfId="124" xr:uid="{780DEDD1-E35D-4265-9220-832AA0080BC9}"/>
    <cellStyle name="SAPBEXresItem" xfId="125" xr:uid="{CA96ADC9-0A90-4631-A3A9-7A940DE18C85}"/>
    <cellStyle name="SAPBEXresItemX" xfId="126" xr:uid="{EA76435E-9745-4E9F-93C0-ABC423DA768D}"/>
    <cellStyle name="SAPBEXstdData" xfId="127" xr:uid="{AA8B9F03-484E-4FD7-A88E-D6EE36570D20}"/>
    <cellStyle name="SAPBEXstdDataEmph" xfId="128" xr:uid="{70F705EF-7193-46E9-8E72-FFC3AE270B3C}"/>
    <cellStyle name="SAPBEXstdItem" xfId="129" xr:uid="{F4019043-5E3E-4CDE-8707-BB189E2030C5}"/>
    <cellStyle name="SAPBEXstdItemX" xfId="130" xr:uid="{D006090E-48CA-4847-8668-2FC120A0EF3E}"/>
    <cellStyle name="SAPBEXtitle" xfId="131" xr:uid="{B31BE1FA-D92E-44F6-9598-4A13CB7B4C61}"/>
    <cellStyle name="SAPBEXundefined" xfId="132" xr:uid="{9BE512B3-9407-4519-AEFD-1B6A7246F149}"/>
    <cellStyle name="Sheet Title" xfId="133" xr:uid="{64EB1ED9-2ACC-448A-9284-9DCAF76AA974}"/>
    <cellStyle name="Stilius 1" xfId="156" xr:uid="{F9D4330F-6819-442A-A6B8-23B49D9FCE61}"/>
    <cellStyle name="Title" xfId="134" xr:uid="{379EB9AE-2A9B-47E0-99D5-D62B24F3BCA2}"/>
    <cellStyle name="Total" xfId="135" xr:uid="{565C4EDD-3B0F-4ED8-B7E0-94C692D5FB63}"/>
    <cellStyle name="Warning Text" xfId="136" xr:uid="{147C846F-0D8F-46E7-90FE-039538B59BA4}"/>
  </cellStyles>
  <dxfs count="0"/>
  <tableStyles count="0" defaultTableStyle="TableStyleMedium2" defaultPivotStyle="PivotStyleLight16"/>
  <colors>
    <mruColors>
      <color rgb="FFC9D6D9"/>
      <color rgb="FFB5DDF0"/>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0</xdr:row>
      <xdr:rowOff>144780</xdr:rowOff>
    </xdr:from>
    <xdr:to>
      <xdr:col>3</xdr:col>
      <xdr:colOff>2228806</xdr:colOff>
      <xdr:row>0</xdr:row>
      <xdr:rowOff>1203960</xdr:rowOff>
    </xdr:to>
    <xdr:pic>
      <xdr:nvPicPr>
        <xdr:cNvPr id="4" name="Paveikslėlis 3"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52EB93B5-16DA-401D-A594-4AE835116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4478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28</xdr:row>
      <xdr:rowOff>194817</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vkontrolelt.sharepoint.com/sites/BPSD/Bendrai%20naudojami%20dokumentai/General/11%20Isvados%20ir%20ataskaitos/I&#353;vados%202020/Vald&#382;ios%20sektoriaus%20biud&#382;et&#371;%20projekt&#371;%20vertinimas/02.%20I&#353;vad&#261;%20sudaran&#269;ios%20dalys/FDT%20taisykl&#279;s/FDT%20skai&#269;iuokl&#279;/FDT+LT+EN+2020_2020.11.10_0419.xlsm" TargetMode="External"/><Relationship Id="rId2" Type="http://schemas.microsoft.com/office/2019/04/relationships/externalLinkLongPath" Target="https://vkontrolelt.sharepoint.com/sites/BPSD/Bendrai%20naudojami%20dokumentai/General/11%20Isvados%20ir%20ataskaitos/I&#353;vados%202020/Vald&#382;ios%20sektoriaus%20biud&#382;et&#371;%20projekt&#371;%20vertinimas/02.%20I&#353;vad&#261;%20sudaran&#269;ios%20dalys/FDT%20taisykl&#279;s/FDT%20skai&#269;iuokl&#279;/FDT+LT+EN+2020_2020.11.10_0419.xlsm?C644C135" TargetMode="External"/><Relationship Id="rId1" Type="http://schemas.openxmlformats.org/officeDocument/2006/relationships/externalLinkPath" Target="file:///\\C644C135\FDT+LT+EN+2020_2020.11.10_04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ech"/>
      <sheetName val="Content"/>
      <sheetName val="1. Summary"/>
      <sheetName val="2. Macro"/>
      <sheetName val="3. GGbudget"/>
      <sheetName val="4. Municipalities"/>
      <sheetName val="5. SurplusGG"/>
      <sheetName val="6. GGexpenditure"/>
      <sheetName val="7. GGbudgets"/>
    </sheetNames>
    <sheetDataSet>
      <sheetData sheetId="0"/>
      <sheetData sheetId="1">
        <row r="2">
          <cell r="B2" t="str">
            <v>LT</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ema">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theme="7" tint="-0.499984740745262"/>
  </sheetPr>
  <dimension ref="C1:G36"/>
  <sheetViews>
    <sheetView showGridLines="0" showRowColHeaders="0" tabSelected="1" workbookViewId="0">
      <selection activeCell="B1" sqref="B1"/>
    </sheetView>
  </sheetViews>
  <sheetFormatPr defaultColWidth="10" defaultRowHeight="13.8"/>
  <cols>
    <col min="1" max="1" width="0.44140625" style="45" customWidth="1"/>
    <col min="2" max="2" width="3.5546875" style="45" customWidth="1"/>
    <col min="3" max="3" width="4.5546875" style="9" customWidth="1"/>
    <col min="4" max="4" width="99.6640625" style="9" customWidth="1"/>
    <col min="5" max="5" width="3.6640625" style="45" customWidth="1"/>
    <col min="6" max="6" width="10" style="45"/>
    <col min="7" max="7" width="10.5546875" style="45" customWidth="1"/>
    <col min="8" max="16384" width="10" style="45"/>
  </cols>
  <sheetData>
    <row r="1" spans="3:7" ht="109.5" customHeight="1" thickBot="1">
      <c r="C1" s="319"/>
      <c r="D1" s="320"/>
      <c r="E1" s="321"/>
    </row>
    <row r="2" spans="3:7">
      <c r="C2" s="58"/>
      <c r="D2" s="59"/>
      <c r="E2" s="60"/>
    </row>
    <row r="3" spans="3:7" ht="35.25" customHeight="1">
      <c r="C3" s="322" t="s">
        <v>0</v>
      </c>
      <c r="D3" s="323"/>
      <c r="E3" s="61"/>
    </row>
    <row r="4" spans="3:7">
      <c r="C4" s="62"/>
      <c r="D4" s="63"/>
      <c r="E4" s="64"/>
    </row>
    <row r="5" spans="3:7" ht="16.2" customHeight="1">
      <c r="C5" s="324" t="s">
        <v>340</v>
      </c>
      <c r="D5" s="325"/>
      <c r="E5" s="64"/>
      <c r="G5" s="51"/>
    </row>
    <row r="6" spans="3:7">
      <c r="C6" s="62"/>
      <c r="D6" s="63"/>
      <c r="E6" s="64"/>
    </row>
    <row r="7" spans="3:7" ht="17.399999999999999">
      <c r="C7" s="326" t="s">
        <v>1</v>
      </c>
      <c r="D7" s="327"/>
      <c r="E7" s="65"/>
    </row>
    <row r="8" spans="3:7">
      <c r="C8" s="62"/>
      <c r="D8" s="63"/>
      <c r="E8" s="64"/>
    </row>
    <row r="9" spans="3:7" ht="171.75" customHeight="1">
      <c r="C9" s="62"/>
      <c r="D9" s="66" t="s">
        <v>275</v>
      </c>
      <c r="E9" s="67"/>
    </row>
    <row r="10" spans="3:7">
      <c r="C10" s="62"/>
      <c r="D10" s="63"/>
      <c r="E10" s="64"/>
    </row>
    <row r="11" spans="3:7" ht="17.399999999999999">
      <c r="C11" s="326" t="s">
        <v>276</v>
      </c>
      <c r="D11" s="327"/>
      <c r="E11" s="65"/>
    </row>
    <row r="12" spans="3:7">
      <c r="C12" s="62"/>
      <c r="D12" s="63"/>
      <c r="E12" s="64"/>
    </row>
    <row r="13" spans="3:7">
      <c r="C13" s="62"/>
      <c r="D13" s="68" t="s">
        <v>2</v>
      </c>
      <c r="E13" s="64"/>
    </row>
    <row r="14" spans="3:7">
      <c r="C14" s="62"/>
      <c r="D14" s="63"/>
      <c r="E14" s="64"/>
    </row>
    <row r="15" spans="3:7" ht="17.399999999999999">
      <c r="C15" s="326" t="s">
        <v>3</v>
      </c>
      <c r="D15" s="327"/>
      <c r="E15" s="65"/>
    </row>
    <row r="16" spans="3:7">
      <c r="C16" s="62"/>
      <c r="D16" s="63"/>
      <c r="E16" s="64"/>
    </row>
    <row r="17" spans="3:5">
      <c r="C17" s="62"/>
      <c r="D17" s="68" t="s">
        <v>4</v>
      </c>
      <c r="E17" s="64"/>
    </row>
    <row r="18" spans="3:5">
      <c r="C18" s="62"/>
      <c r="D18" s="68" t="s">
        <v>5</v>
      </c>
      <c r="E18" s="64"/>
    </row>
    <row r="19" spans="3:5">
      <c r="C19" s="62"/>
      <c r="D19" s="63"/>
      <c r="E19" s="64"/>
    </row>
    <row r="20" spans="3:5" ht="17.399999999999999">
      <c r="C20" s="326" t="s">
        <v>6</v>
      </c>
      <c r="D20" s="327"/>
      <c r="E20" s="65"/>
    </row>
    <row r="21" spans="3:5">
      <c r="C21" s="62"/>
      <c r="D21" s="63"/>
      <c r="E21" s="64"/>
    </row>
    <row r="22" spans="3:5">
      <c r="C22" s="62"/>
      <c r="D22" s="68" t="s">
        <v>7</v>
      </c>
      <c r="E22" s="64"/>
    </row>
    <row r="23" spans="3:5">
      <c r="C23" s="62"/>
      <c r="D23" s="68" t="s">
        <v>8</v>
      </c>
      <c r="E23" s="64"/>
    </row>
    <row r="24" spans="3:5">
      <c r="C24" s="62"/>
      <c r="D24" s="68" t="s">
        <v>9</v>
      </c>
      <c r="E24" s="64"/>
    </row>
    <row r="25" spans="3:5">
      <c r="C25" s="62"/>
      <c r="D25" s="63"/>
      <c r="E25" s="64"/>
    </row>
    <row r="26" spans="3:5" ht="15">
      <c r="C26" s="326" t="s">
        <v>311</v>
      </c>
      <c r="D26" s="327"/>
      <c r="E26" s="64"/>
    </row>
    <row r="27" spans="3:5">
      <c r="C27" s="62"/>
      <c r="D27" s="63"/>
      <c r="E27" s="64"/>
    </row>
    <row r="28" spans="3:5">
      <c r="C28" s="62"/>
      <c r="D28" s="68" t="s">
        <v>312</v>
      </c>
      <c r="E28" s="64"/>
    </row>
    <row r="29" spans="3:5">
      <c r="C29" s="62"/>
      <c r="D29" s="63"/>
      <c r="E29" s="64"/>
    </row>
    <row r="30" spans="3:5" ht="17.399999999999999">
      <c r="C30" s="326" t="s">
        <v>10</v>
      </c>
      <c r="D30" s="327"/>
      <c r="E30" s="65"/>
    </row>
    <row r="31" spans="3:5">
      <c r="C31" s="62"/>
      <c r="D31" s="63"/>
      <c r="E31" s="64"/>
    </row>
    <row r="32" spans="3:5">
      <c r="C32" s="62" t="s">
        <v>11</v>
      </c>
      <c r="D32" s="69" t="s">
        <v>12</v>
      </c>
      <c r="E32" s="64"/>
    </row>
    <row r="33" spans="3:5" ht="14.4">
      <c r="C33" s="70" t="s">
        <v>13</v>
      </c>
      <c r="D33" s="71" t="s">
        <v>14</v>
      </c>
      <c r="E33" s="64"/>
    </row>
    <row r="34" spans="3:5">
      <c r="C34" s="62" t="s">
        <v>15</v>
      </c>
      <c r="D34" s="69" t="s">
        <v>16</v>
      </c>
      <c r="E34" s="64"/>
    </row>
    <row r="35" spans="3:5" ht="14.4">
      <c r="C35" s="70" t="s">
        <v>17</v>
      </c>
      <c r="D35" s="71" t="s">
        <v>18</v>
      </c>
      <c r="E35" s="64"/>
    </row>
    <row r="36" spans="3:5" ht="9.6" customHeight="1" thickBot="1">
      <c r="C36" s="72"/>
      <c r="D36" s="73"/>
      <c r="E36" s="74"/>
    </row>
  </sheetData>
  <mergeCells count="9">
    <mergeCell ref="C1:E1"/>
    <mergeCell ref="C3:D3"/>
    <mergeCell ref="C5:D5"/>
    <mergeCell ref="C7:D7"/>
    <mergeCell ref="C30:D30"/>
    <mergeCell ref="C11:D11"/>
    <mergeCell ref="C15:D15"/>
    <mergeCell ref="C20:D20"/>
    <mergeCell ref="C26:D26"/>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32" r:id="rId1" display="http://www3.lrs.lt/pls/inter3/dokpaieska.showdoc_l?p_id=487268&amp;p_tr2=2" xr:uid="{DDC9A2C8-E1C0-4CF4-BC74-7FF78E256ED8}"/>
    <hyperlink ref="D34" r:id="rId2" display="Lietuvos Respublikos fiskalinės drausmės įstatymas" xr:uid="{F4FFA9C7-1444-4704-90F5-2ECFABD928E1}"/>
    <hyperlink ref="D35" r:id="rId3" xr:uid="{3C5B1BA1-E78A-448A-B1EF-3C53FDDD686B}"/>
    <hyperlink ref="D33" r:id="rId4" xr:uid="{AB0085CB-F5E8-4B40-995B-4E4EFCC9A3FD}"/>
    <hyperlink ref="D28" location="'7. History'!A1" display="4. Istorinis taisyklių laikymasis / Historical adherence to fiscal rules" xr:uid="{9826D7A9-E019-4F09-9AEE-8A29F23A65D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theme="7"/>
  </sheetPr>
  <dimension ref="A1:E37"/>
  <sheetViews>
    <sheetView showGridLines="0" showRowColHeaders="0" zoomScaleNormal="100" workbookViewId="0"/>
  </sheetViews>
  <sheetFormatPr defaultColWidth="10" defaultRowHeight="13.8"/>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c r="B1" s="75" t="s">
        <v>19</v>
      </c>
      <c r="C1" s="3"/>
      <c r="D1" s="3"/>
    </row>
    <row r="2" spans="1:4" ht="14.4" thickBot="1">
      <c r="A2" s="4" t="s">
        <v>20</v>
      </c>
    </row>
    <row r="3" spans="1:4" ht="35.25" customHeight="1" thickTop="1" thickBot="1">
      <c r="B3" s="333" t="str">
        <f>_xlfn.CONCAT("1. Fiskalinės drausmės taisyklių laikymosi suvestinė ",metai," m.
Summary of the fulfilment of the fiscal discipline rules in year ",metai)</f>
        <v>1. Fiskalinės drausmės taisyklių laikymosi suvestinė 2022 m.
Summary of the fulfilment of the fiscal discipline rules in year 2022</v>
      </c>
      <c r="C3" s="334"/>
      <c r="D3" s="335"/>
    </row>
    <row r="4" spans="1:4" ht="17.25" customHeight="1" thickBot="1">
      <c r="B4" s="194" t="s">
        <v>21</v>
      </c>
      <c r="C4" s="339"/>
      <c r="D4" s="340"/>
    </row>
    <row r="5" spans="1:4" ht="33" customHeight="1" thickBot="1">
      <c r="B5" s="195" t="s">
        <v>22</v>
      </c>
      <c r="C5" s="110" t="s">
        <v>23</v>
      </c>
      <c r="D5" s="123" t="s">
        <v>24</v>
      </c>
    </row>
    <row r="6" spans="1:4" ht="17.25" customHeight="1">
      <c r="B6" s="196" t="s">
        <v>28</v>
      </c>
      <c r="C6" s="343" t="str">
        <f>'4. SurplusGG'!E6</f>
        <v>Taip</v>
      </c>
      <c r="D6" s="344"/>
    </row>
    <row r="7" spans="1:4" ht="17.25" customHeight="1" thickBot="1">
      <c r="B7" s="197" t="s">
        <v>29</v>
      </c>
      <c r="C7" s="345" t="str">
        <f>'4. SurplusGG'!E7</f>
        <v>Yes</v>
      </c>
      <c r="D7" s="346"/>
    </row>
    <row r="8" spans="1:4" ht="17.399999999999999" customHeight="1" thickBot="1">
      <c r="B8" s="336" t="s">
        <v>25</v>
      </c>
      <c r="C8" s="337"/>
      <c r="D8" s="338"/>
    </row>
    <row r="9" spans="1:4" ht="17.399999999999999" customHeight="1" thickBot="1">
      <c r="B9" s="331" t="s">
        <v>26</v>
      </c>
      <c r="C9" s="113" t="str">
        <f>'4. SurplusGG'!E20</f>
        <v>Netaikoma</v>
      </c>
      <c r="D9" s="121" t="str">
        <f>'4. SurplusGG'!F20</f>
        <v>Netaikoma</v>
      </c>
    </row>
    <row r="10" spans="1:4" ht="53.4" customHeight="1">
      <c r="B10" s="332"/>
      <c r="C10" s="115" t="str">
        <f>'4. SurplusGG'!E21</f>
        <v>Paskelbtos išskirtinės aplinkybės</v>
      </c>
      <c r="D10" s="117" t="str">
        <f>'4. SurplusGG'!F21</f>
        <v>Paskelbtos išskirtinės aplinkybės</v>
      </c>
    </row>
    <row r="11" spans="1:4" ht="15.75" customHeight="1" thickBot="1">
      <c r="B11" s="341" t="s">
        <v>27</v>
      </c>
      <c r="C11" s="165" t="str">
        <f>'4. SurplusGG'!E22</f>
        <v>Not applicable</v>
      </c>
      <c r="D11" s="193" t="str">
        <f>'4. SurplusGG'!F22</f>
        <v>Not applicable</v>
      </c>
    </row>
    <row r="12" spans="1:4" ht="33" customHeight="1" thickBot="1">
      <c r="B12" s="342"/>
      <c r="C12" s="114" t="str">
        <f>'4. SurplusGG'!E23</f>
        <v>Exceptional circumstances</v>
      </c>
      <c r="D12" s="122" t="str">
        <f>'4. SurplusGG'!F23</f>
        <v>Exceptional circumstances</v>
      </c>
    </row>
    <row r="13" spans="1:4" ht="21" customHeight="1" thickBot="1">
      <c r="B13" s="328" t="s">
        <v>30</v>
      </c>
      <c r="C13" s="329"/>
      <c r="D13" s="330"/>
    </row>
    <row r="14" spans="1:4" ht="18" customHeight="1" thickBot="1">
      <c r="B14" s="351" t="s">
        <v>31</v>
      </c>
      <c r="C14" s="113" t="str">
        <f>'5. GGexpenditure'!F23</f>
        <v>Taip</v>
      </c>
      <c r="D14" s="121" t="str">
        <f>'5. GGexpenditure'!G23</f>
        <v>Ne</v>
      </c>
    </row>
    <row r="15" spans="1:4" ht="48.75" customHeight="1">
      <c r="B15" s="352"/>
      <c r="C15" s="115" t="str">
        <f>'5. GGexpenditure'!F24</f>
        <v>Susidaro A5 aplinkybė</v>
      </c>
      <c r="D15" s="117" t="str">
        <f>'5. GGexpenditure'!G24</f>
        <v>Išimčių nėra</v>
      </c>
    </row>
    <row r="16" spans="1:4" ht="18" customHeight="1">
      <c r="B16" s="353" t="s">
        <v>32</v>
      </c>
      <c r="C16" s="165" t="str">
        <f>'5. GGexpenditure'!F25</f>
        <v>Yes</v>
      </c>
      <c r="D16" s="193" t="str">
        <f>'5. GGexpenditure'!G25</f>
        <v>No</v>
      </c>
    </row>
    <row r="17" spans="2:4" ht="52.5" customHeight="1" thickBot="1">
      <c r="B17" s="354"/>
      <c r="C17" s="114" t="str">
        <f>'5. GGexpenditure'!F26</f>
        <v>Escape clause A5 emerge</v>
      </c>
      <c r="D17" s="122" t="str">
        <f>'5. GGexpenditure'!G26</f>
        <v>No escape clauses emerge</v>
      </c>
    </row>
    <row r="18" spans="2:4" ht="22.5" customHeight="1">
      <c r="B18" s="352" t="s">
        <v>33</v>
      </c>
      <c r="C18" s="113" t="str">
        <f>'5. GGexpenditure'!F31</f>
        <v>Netaikoma</v>
      </c>
      <c r="D18" s="121" t="str">
        <f>'5. GGexpenditure'!G31</f>
        <v>Netaikoma</v>
      </c>
    </row>
    <row r="19" spans="2:4" ht="69" customHeight="1">
      <c r="B19" s="355"/>
      <c r="C19" s="115" t="str">
        <f>'5. GGexpenditure'!F32</f>
        <v>Paskelbtos išskirtinės aplinkybės</v>
      </c>
      <c r="D19" s="117" t="str">
        <f>'5. GGexpenditure'!G32</f>
        <v>Paskelbtos išskirtinės aplinkybės</v>
      </c>
    </row>
    <row r="20" spans="2:4" ht="14.4">
      <c r="B20" s="353" t="s">
        <v>34</v>
      </c>
      <c r="C20" s="165" t="str">
        <f>'5. GGexpenditure'!F33</f>
        <v>Not applied</v>
      </c>
      <c r="D20" s="193" t="str">
        <f>'5. GGexpenditure'!G33</f>
        <v>Not applied</v>
      </c>
    </row>
    <row r="21" spans="2:4" ht="64.5" customHeight="1" thickBot="1">
      <c r="B21" s="354"/>
      <c r="C21" s="114" t="str">
        <f>'5. GGexpenditure'!F34</f>
        <v>Exceptional Circumstances</v>
      </c>
      <c r="D21" s="122" t="str">
        <f>'5. GGexpenditure'!G34</f>
        <v>Exceptional Circumstances</v>
      </c>
    </row>
    <row r="22" spans="2:4" ht="19.5" customHeight="1">
      <c r="B22" s="198" t="s">
        <v>35</v>
      </c>
      <c r="C22" s="113" t="str">
        <f>'5. GGexpenditure'!F31</f>
        <v>Netaikoma</v>
      </c>
      <c r="D22" s="121" t="str">
        <f>'5. GGexpenditure'!G31</f>
        <v>Netaikoma</v>
      </c>
    </row>
    <row r="23" spans="2:4" ht="15" thickBot="1">
      <c r="B23" s="197" t="s">
        <v>36</v>
      </c>
      <c r="C23" s="114" t="str">
        <f>'5. GGexpenditure'!F33</f>
        <v>Not applied</v>
      </c>
      <c r="D23" s="122" t="str">
        <f>'5. GGexpenditure'!G33</f>
        <v>Not applied</v>
      </c>
    </row>
    <row r="24" spans="2:4" ht="15.75" customHeight="1" thickBot="1">
      <c r="B24" s="328" t="s">
        <v>37</v>
      </c>
      <c r="C24" s="329" t="s">
        <v>38</v>
      </c>
      <c r="D24" s="330"/>
    </row>
    <row r="25" spans="2:4" ht="82.8">
      <c r="B25" s="198" t="s">
        <v>39</v>
      </c>
      <c r="C25" s="111"/>
      <c r="D25" s="119" t="str">
        <f>'6. GGbudgets'!F6:F6</f>
        <v>Savivaldybių biudžetų atitiktis fiskalinės drausmės taisyklėms bus vertinama 2023 m. birželio mėn.</v>
      </c>
    </row>
    <row r="26" spans="2:4" ht="29.4" thickBot="1">
      <c r="B26" s="197" t="s">
        <v>40</v>
      </c>
      <c r="C26" s="112"/>
      <c r="D26" s="120" t="str">
        <f>'6. GGbudgets'!F7:F7</f>
        <v>Will be assessed in June 2023</v>
      </c>
    </row>
    <row r="27" spans="2:4">
      <c r="B27" s="198" t="s">
        <v>41</v>
      </c>
      <c r="C27" s="113" t="str">
        <f>'6. GGbudgets'!E12</f>
        <v>Tenkinama</v>
      </c>
      <c r="D27" s="121" t="str">
        <f>'6. GGbudgets'!F12</f>
        <v>Tenkinama</v>
      </c>
    </row>
    <row r="28" spans="2:4" ht="15" thickBot="1">
      <c r="B28" s="197" t="s">
        <v>42</v>
      </c>
      <c r="C28" s="114" t="str">
        <f>'6. GGbudgets'!E13</f>
        <v>Valid</v>
      </c>
      <c r="D28" s="122" t="str">
        <f>'6. GGbudgets'!F13</f>
        <v>Valid</v>
      </c>
    </row>
    <row r="29" spans="2:4">
      <c r="B29" s="198" t="s">
        <v>43</v>
      </c>
      <c r="C29" s="113" t="str">
        <f>'6. GGbudgets'!E20</f>
        <v>Tenkinama</v>
      </c>
      <c r="D29" s="121" t="str">
        <f>'6. GGbudgets'!F20</f>
        <v>Tenkinama</v>
      </c>
    </row>
    <row r="30" spans="2:4" ht="15" thickBot="1">
      <c r="B30" s="199" t="s">
        <v>44</v>
      </c>
      <c r="C30" s="114" t="str">
        <f>'6. GGbudgets'!E21</f>
        <v>Valid</v>
      </c>
      <c r="D30" s="122" t="str">
        <f>'6. GGbudgets'!F21</f>
        <v>Valid</v>
      </c>
    </row>
    <row r="31" spans="2:4" ht="121.5" customHeight="1">
      <c r="B31" s="200" t="s">
        <v>45</v>
      </c>
      <c r="C31" s="115"/>
      <c r="D31" s="117" t="str">
        <f>'6. GGbudgets'!F22</f>
        <v>Savivaldybių biudžetų atitiktis fiskalinės drausmės taisyklėms bus vertinama 2023 m. birželio mėn.</v>
      </c>
    </row>
    <row r="32" spans="2:4" ht="48.75" customHeight="1" thickBot="1">
      <c r="B32" s="201" t="s">
        <v>46</v>
      </c>
      <c r="C32" s="116"/>
      <c r="D32" s="118" t="str">
        <f>'6. GGbudgets'!F23</f>
        <v>Will be assessed in June 2023</v>
      </c>
    </row>
    <row r="33" spans="2:5" ht="14.4" thickTop="1">
      <c r="B33" s="34"/>
      <c r="C33" s="34"/>
      <c r="D33" s="34"/>
    </row>
    <row r="34" spans="2:5" ht="15" thickBot="1">
      <c r="B34" s="6" t="s">
        <v>47</v>
      </c>
      <c r="C34" s="6"/>
      <c r="D34" s="6"/>
      <c r="E34" s="38" t="s">
        <v>48</v>
      </c>
    </row>
    <row r="35" spans="2:5" ht="15.6" thickTop="1" thickBot="1">
      <c r="B35" s="7" t="s">
        <v>49</v>
      </c>
      <c r="C35" s="347" t="s">
        <v>23</v>
      </c>
      <c r="D35" s="348"/>
      <c r="E35" s="38" t="s">
        <v>50</v>
      </c>
    </row>
    <row r="36" spans="2:5" ht="15" thickBot="1">
      <c r="B36" s="7" t="s">
        <v>51</v>
      </c>
      <c r="C36" s="349" t="s">
        <v>24</v>
      </c>
      <c r="D36" s="350"/>
      <c r="E36" s="38" t="s">
        <v>52</v>
      </c>
    </row>
    <row r="37" spans="2:5" ht="14.4" thickTop="1"/>
  </sheetData>
  <mergeCells count="15">
    <mergeCell ref="B24:D24"/>
    <mergeCell ref="C35:D35"/>
    <mergeCell ref="C36:D36"/>
    <mergeCell ref="B14:B15"/>
    <mergeCell ref="B16:B17"/>
    <mergeCell ref="B20:B21"/>
    <mergeCell ref="B18:B19"/>
    <mergeCell ref="B13:D13"/>
    <mergeCell ref="B9:B10"/>
    <mergeCell ref="B3:D3"/>
    <mergeCell ref="B8:D8"/>
    <mergeCell ref="C4:D4"/>
    <mergeCell ref="B11:B12"/>
    <mergeCell ref="C6:D6"/>
    <mergeCell ref="C7:D7"/>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7"/>
  </sheetPr>
  <dimension ref="A1:T61"/>
  <sheetViews>
    <sheetView showGridLines="0" showRowColHeaders="0" zoomScaleNormal="100" workbookViewId="0">
      <pane ySplit="5" topLeftCell="A6" activePane="bottomLeft" state="frozen"/>
      <selection pane="bottomLeft"/>
    </sheetView>
  </sheetViews>
  <sheetFormatPr defaultColWidth="10" defaultRowHeight="13.8"/>
  <cols>
    <col min="1" max="1" width="4.5546875" style="1" customWidth="1"/>
    <col min="2" max="2" width="51.33203125" style="1" customWidth="1"/>
    <col min="3" max="3" width="40.88671875" style="1" customWidth="1"/>
    <col min="4" max="4" width="21.109375" style="1" customWidth="1"/>
    <col min="5" max="7" width="11.44140625" style="1" customWidth="1"/>
    <col min="8" max="8" width="11.6640625" style="1" customWidth="1"/>
    <col min="9" max="13" width="11.44140625" style="1" customWidth="1"/>
    <col min="14" max="14" width="11.6640625" style="45" hidden="1" customWidth="1"/>
    <col min="15" max="17" width="11.44140625" style="45" hidden="1" customWidth="1"/>
    <col min="18" max="16384" width="10" style="1"/>
  </cols>
  <sheetData>
    <row r="1" spans="1:20">
      <c r="B1" s="75" t="s">
        <v>19</v>
      </c>
      <c r="C1" s="3"/>
      <c r="D1" s="3"/>
    </row>
    <row r="2" spans="1:20" ht="14.4" thickBot="1">
      <c r="A2" s="8" t="s">
        <v>20</v>
      </c>
      <c r="B2" s="9"/>
      <c r="C2" s="9"/>
    </row>
    <row r="3" spans="1:20" ht="40.200000000000003" customHeight="1" thickTop="1" thickBot="1">
      <c r="B3" s="371" t="s">
        <v>53</v>
      </c>
      <c r="C3" s="372"/>
      <c r="D3" s="372"/>
      <c r="E3" s="372"/>
      <c r="F3" s="372"/>
      <c r="G3" s="372"/>
      <c r="H3" s="372"/>
      <c r="I3" s="372"/>
      <c r="J3" s="372"/>
      <c r="K3" s="372"/>
      <c r="L3" s="372"/>
      <c r="M3" s="372"/>
      <c r="N3" s="372"/>
      <c r="O3" s="372"/>
      <c r="P3" s="372"/>
      <c r="Q3" s="373"/>
    </row>
    <row r="4" spans="1:20" ht="22.95" customHeight="1" thickBot="1">
      <c r="B4" s="374" t="s">
        <v>54</v>
      </c>
      <c r="C4" s="339" t="s">
        <v>55</v>
      </c>
      <c r="D4" s="359" t="s">
        <v>56</v>
      </c>
      <c r="E4" s="362"/>
      <c r="F4" s="363"/>
      <c r="G4" s="363"/>
      <c r="H4" s="363"/>
      <c r="I4" s="363"/>
      <c r="J4" s="363"/>
      <c r="K4" s="363"/>
      <c r="L4" s="363"/>
      <c r="M4" s="364"/>
      <c r="N4" s="358" t="s">
        <v>271</v>
      </c>
      <c r="O4" s="359"/>
      <c r="P4" s="359"/>
      <c r="Q4" s="360"/>
    </row>
    <row r="5" spans="1:20" ht="20.25" customHeight="1" thickBot="1">
      <c r="B5" s="374"/>
      <c r="C5" s="339"/>
      <c r="D5" s="359"/>
      <c r="E5" s="78">
        <f>2014</f>
        <v>2014</v>
      </c>
      <c r="F5" s="78">
        <f>E5+1</f>
        <v>2015</v>
      </c>
      <c r="G5" s="78">
        <f t="shared" ref="G5:K5" si="0">F5+1</f>
        <v>2016</v>
      </c>
      <c r="H5" s="78">
        <f t="shared" si="0"/>
        <v>2017</v>
      </c>
      <c r="I5" s="78">
        <f t="shared" si="0"/>
        <v>2018</v>
      </c>
      <c r="J5" s="78">
        <f t="shared" si="0"/>
        <v>2019</v>
      </c>
      <c r="K5" s="78">
        <f t="shared" si="0"/>
        <v>2020</v>
      </c>
      <c r="L5" s="78">
        <f t="shared" ref="L5" si="1">K5+1</f>
        <v>2021</v>
      </c>
      <c r="M5" s="78">
        <f t="shared" ref="M5" si="2">L5+1</f>
        <v>2022</v>
      </c>
      <c r="N5" s="78" t="str">
        <f>CONCATENATE(M5+1,"P")</f>
        <v>2023P</v>
      </c>
      <c r="O5" s="78" t="str">
        <f>CONCATENATE(M5+2,"P")</f>
        <v>2024P</v>
      </c>
      <c r="P5" s="78" t="str">
        <f>CONCATENATE(M5+3,"P")</f>
        <v>2025P</v>
      </c>
      <c r="Q5" s="98" t="str">
        <f>CONCATENATE(M5+4,"P")</f>
        <v>2026P</v>
      </c>
    </row>
    <row r="6" spans="1:20" ht="14.4" thickBot="1">
      <c r="B6" s="99" t="s">
        <v>57</v>
      </c>
      <c r="C6" s="79" t="s">
        <v>58</v>
      </c>
      <c r="D6" s="80"/>
      <c r="E6" s="81" t="s">
        <v>260</v>
      </c>
      <c r="F6" s="81" t="s">
        <v>261</v>
      </c>
      <c r="G6" s="81" t="s">
        <v>262</v>
      </c>
      <c r="H6" s="81" t="s">
        <v>263</v>
      </c>
      <c r="I6" s="81" t="s">
        <v>264</v>
      </c>
      <c r="J6" s="81" t="s">
        <v>265</v>
      </c>
      <c r="K6" s="81" t="s">
        <v>59</v>
      </c>
      <c r="L6" s="81" t="s">
        <v>60</v>
      </c>
      <c r="M6" s="81" t="s">
        <v>61</v>
      </c>
      <c r="N6" s="81" t="s">
        <v>62</v>
      </c>
      <c r="O6" s="100" t="s">
        <v>63</v>
      </c>
      <c r="P6" s="81" t="s">
        <v>305</v>
      </c>
      <c r="Q6" s="100" t="s">
        <v>306</v>
      </c>
    </row>
    <row r="7" spans="1:20" ht="14.4" thickBot="1">
      <c r="B7" s="365" t="s">
        <v>64</v>
      </c>
      <c r="C7" s="369" t="s">
        <v>65</v>
      </c>
      <c r="D7" s="82">
        <v>44986</v>
      </c>
      <c r="E7" s="202">
        <v>36581.31077264122</v>
      </c>
      <c r="F7" s="202">
        <v>37345.698271975161</v>
      </c>
      <c r="G7" s="202">
        <v>38889.862365306471</v>
      </c>
      <c r="H7" s="202">
        <v>42276.297248535411</v>
      </c>
      <c r="I7" s="202">
        <v>45515.225949899301</v>
      </c>
      <c r="J7" s="202">
        <v>48908.223856734498</v>
      </c>
      <c r="K7" s="202">
        <v>49769.581669790299</v>
      </c>
      <c r="L7" s="202">
        <v>56179.075026146893</v>
      </c>
      <c r="M7" s="202">
        <v>66918.197192988693</v>
      </c>
      <c r="N7" s="203">
        <v>73829.7</v>
      </c>
      <c r="O7" s="203">
        <v>77779.600000000006</v>
      </c>
      <c r="P7" s="203">
        <v>81743.8</v>
      </c>
      <c r="Q7" s="204">
        <v>85884.5</v>
      </c>
    </row>
    <row r="8" spans="1:20" ht="14.4" thickBot="1">
      <c r="B8" s="366"/>
      <c r="C8" s="369"/>
      <c r="D8" s="82">
        <v>44986</v>
      </c>
      <c r="E8" s="202">
        <f>E7</f>
        <v>36581.31077264122</v>
      </c>
      <c r="F8" s="202">
        <f t="shared" ref="F8:M8" si="3">F7</f>
        <v>37345.698271975161</v>
      </c>
      <c r="G8" s="202">
        <f t="shared" si="3"/>
        <v>38889.862365306471</v>
      </c>
      <c r="H8" s="202">
        <f t="shared" si="3"/>
        <v>42276.297248535411</v>
      </c>
      <c r="I8" s="202">
        <f t="shared" si="3"/>
        <v>45515.225949899301</v>
      </c>
      <c r="J8" s="202">
        <f t="shared" si="3"/>
        <v>48908.223856734498</v>
      </c>
      <c r="K8" s="202">
        <f t="shared" si="3"/>
        <v>49769.581669790299</v>
      </c>
      <c r="L8" s="202">
        <f t="shared" si="3"/>
        <v>56179.075026146893</v>
      </c>
      <c r="M8" s="202">
        <f t="shared" si="3"/>
        <v>66918.197192988693</v>
      </c>
      <c r="N8" s="203">
        <f>N7</f>
        <v>73829.7</v>
      </c>
      <c r="O8" s="203">
        <f t="shared" ref="O8:Q8" si="4">O7</f>
        <v>77779.600000000006</v>
      </c>
      <c r="P8" s="203">
        <f t="shared" si="4"/>
        <v>81743.8</v>
      </c>
      <c r="Q8" s="204">
        <f t="shared" si="4"/>
        <v>85884.5</v>
      </c>
    </row>
    <row r="9" spans="1:20" ht="14.4" thickBot="1">
      <c r="B9" s="365" t="s">
        <v>66</v>
      </c>
      <c r="C9" s="361" t="s">
        <v>67</v>
      </c>
      <c r="D9" s="82">
        <f>$D$7</f>
        <v>44986</v>
      </c>
      <c r="E9" s="205"/>
      <c r="F9" s="205">
        <f t="shared" ref="F9:J9" si="5">(F7/E7-1)*100</f>
        <v>2.0895574357210345</v>
      </c>
      <c r="G9" s="205">
        <f t="shared" si="5"/>
        <v>4.1347843654862881</v>
      </c>
      <c r="H9" s="205">
        <f t="shared" si="5"/>
        <v>8.707757439249697</v>
      </c>
      <c r="I9" s="205">
        <f t="shared" si="5"/>
        <v>7.6613348664921199</v>
      </c>
      <c r="J9" s="205">
        <f t="shared" si="5"/>
        <v>7.4546436626943713</v>
      </c>
      <c r="K9" s="205">
        <f>(K7/J7-1)*100</f>
        <v>1.7611717317295161</v>
      </c>
      <c r="L9" s="205">
        <f t="shared" ref="L9:M10" si="6">(L7/K7-1)*100</f>
        <v>12.878334800726488</v>
      </c>
      <c r="M9" s="205">
        <f t="shared" si="6"/>
        <v>19.115875727472531</v>
      </c>
      <c r="N9" s="203">
        <f>(N7/M7-1)*100</f>
        <v>10.328286022229328</v>
      </c>
      <c r="O9" s="203">
        <f t="shared" ref="O9:Q10" si="7">(O7/N7-1)*100</f>
        <v>5.3500149668764818</v>
      </c>
      <c r="P9" s="203">
        <f t="shared" si="7"/>
        <v>5.0967091628139061</v>
      </c>
      <c r="Q9" s="204">
        <f t="shared" si="7"/>
        <v>5.06546062208999</v>
      </c>
    </row>
    <row r="10" spans="1:20" ht="14.4" thickBot="1">
      <c r="B10" s="366"/>
      <c r="C10" s="361"/>
      <c r="D10" s="82">
        <f>$D$8</f>
        <v>44986</v>
      </c>
      <c r="E10" s="205"/>
      <c r="F10" s="205">
        <f t="shared" ref="F10:K10" si="8">(F8/E8-1)*100</f>
        <v>2.0895574357210345</v>
      </c>
      <c r="G10" s="205">
        <f t="shared" si="8"/>
        <v>4.1347843654862881</v>
      </c>
      <c r="H10" s="205">
        <f t="shared" si="8"/>
        <v>8.707757439249697</v>
      </c>
      <c r="I10" s="205">
        <f t="shared" si="8"/>
        <v>7.6613348664921199</v>
      </c>
      <c r="J10" s="205">
        <f t="shared" si="8"/>
        <v>7.4546436626943713</v>
      </c>
      <c r="K10" s="205">
        <f t="shared" si="8"/>
        <v>1.7611717317295161</v>
      </c>
      <c r="L10" s="205">
        <f t="shared" si="6"/>
        <v>12.878334800726488</v>
      </c>
      <c r="M10" s="205">
        <f t="shared" si="6"/>
        <v>19.115875727472531</v>
      </c>
      <c r="N10" s="203">
        <f>(N8/M8-1)*100</f>
        <v>10.328286022229328</v>
      </c>
      <c r="O10" s="203">
        <f>(O8/N8-1)*100</f>
        <v>5.3500149668764818</v>
      </c>
      <c r="P10" s="203">
        <f t="shared" si="7"/>
        <v>5.0967091628139061</v>
      </c>
      <c r="Q10" s="204">
        <f t="shared" si="7"/>
        <v>5.06546062208999</v>
      </c>
    </row>
    <row r="11" spans="1:20" ht="14.4" thickBot="1">
      <c r="B11" s="365" t="s">
        <v>68</v>
      </c>
      <c r="C11" s="361" t="s">
        <v>69</v>
      </c>
      <c r="D11" s="82">
        <f>$D$7</f>
        <v>44986</v>
      </c>
      <c r="E11" s="202">
        <v>36604.607000000004</v>
      </c>
      <c r="F11" s="202">
        <v>37345.699000000001</v>
      </c>
      <c r="G11" s="202">
        <v>38286.372000000003</v>
      </c>
      <c r="H11" s="202">
        <v>39926.023999999998</v>
      </c>
      <c r="I11" s="202">
        <v>41520.392</v>
      </c>
      <c r="J11" s="202">
        <v>43440.754000000001</v>
      </c>
      <c r="K11" s="202">
        <v>43431.3</v>
      </c>
      <c r="L11" s="202">
        <v>46028.94</v>
      </c>
      <c r="M11" s="202">
        <v>46897.745999999999</v>
      </c>
      <c r="N11" s="203">
        <v>47132.6</v>
      </c>
      <c r="O11" s="203">
        <v>48547.3</v>
      </c>
      <c r="P11" s="203">
        <v>50002.1</v>
      </c>
      <c r="Q11" s="204">
        <v>51501.5</v>
      </c>
    </row>
    <row r="12" spans="1:20" ht="14.4" thickBot="1">
      <c r="B12" s="366"/>
      <c r="C12" s="361"/>
      <c r="D12" s="82">
        <f>D10</f>
        <v>44986</v>
      </c>
      <c r="E12" s="202">
        <v>36604.607000000004</v>
      </c>
      <c r="F12" s="202">
        <v>37345.699000000001</v>
      </c>
      <c r="G12" s="202">
        <v>38286.372000000003</v>
      </c>
      <c r="H12" s="202">
        <v>39926.023999999998</v>
      </c>
      <c r="I12" s="202">
        <v>41520.392</v>
      </c>
      <c r="J12" s="202">
        <v>43440.754000000001</v>
      </c>
      <c r="K12" s="202">
        <v>43431.299753824002</v>
      </c>
      <c r="L12" s="202">
        <v>46028.94</v>
      </c>
      <c r="M12" s="202">
        <v>46897.745999999999</v>
      </c>
      <c r="N12" s="203">
        <v>47132.6</v>
      </c>
      <c r="O12" s="203">
        <v>48547.3</v>
      </c>
      <c r="P12" s="203">
        <v>50002.1</v>
      </c>
      <c r="Q12" s="204">
        <v>51501.5</v>
      </c>
    </row>
    <row r="13" spans="1:20" ht="14.4" thickBot="1">
      <c r="B13" s="365" t="s">
        <v>70</v>
      </c>
      <c r="C13" s="361" t="s">
        <v>71</v>
      </c>
      <c r="D13" s="82">
        <f>$D$7</f>
        <v>44986</v>
      </c>
      <c r="E13" s="205"/>
      <c r="F13" s="205">
        <f t="shared" ref="F13:J13" si="9">(F11/E11-1)*100</f>
        <v>2.024586686588381</v>
      </c>
      <c r="G13" s="205">
        <f t="shared" si="9"/>
        <v>2.5188255279409821</v>
      </c>
      <c r="H13" s="205">
        <f t="shared" si="9"/>
        <v>4.2825995631030178</v>
      </c>
      <c r="I13" s="205">
        <f t="shared" si="9"/>
        <v>3.9933052186714058</v>
      </c>
      <c r="J13" s="205">
        <f t="shared" si="9"/>
        <v>4.625105658925377</v>
      </c>
      <c r="K13" s="205">
        <f>(K11/J11-1)*100</f>
        <v>-2.1762974003625146E-2</v>
      </c>
      <c r="L13" s="205">
        <f t="shared" ref="L13:M13" si="10">(L11/K11-1)*100</f>
        <v>5.981032112785023</v>
      </c>
      <c r="M13" s="205">
        <f t="shared" si="10"/>
        <v>1.8875211986198126</v>
      </c>
      <c r="N13" s="203">
        <f>(N11/M11-1)*100</f>
        <v>0.50077886472410515</v>
      </c>
      <c r="O13" s="203">
        <f t="shared" ref="O13:Q13" si="11">(O11/N11-1)*100</f>
        <v>3.0015318484446052</v>
      </c>
      <c r="P13" s="203">
        <f t="shared" si="11"/>
        <v>2.9966651080492568</v>
      </c>
      <c r="Q13" s="204">
        <f t="shared" si="11"/>
        <v>2.9986740556896541</v>
      </c>
    </row>
    <row r="14" spans="1:20" ht="14.4" thickBot="1">
      <c r="B14" s="366"/>
      <c r="C14" s="361"/>
      <c r="D14" s="82">
        <f>$D$12</f>
        <v>44986</v>
      </c>
      <c r="E14" s="205"/>
      <c r="F14" s="205">
        <f t="shared" ref="F14:H14" si="12">(F12/E12-1)*100</f>
        <v>2.024586686588381</v>
      </c>
      <c r="G14" s="205">
        <f t="shared" si="12"/>
        <v>2.5188255279409821</v>
      </c>
      <c r="H14" s="205">
        <f t="shared" si="12"/>
        <v>4.2825995631030178</v>
      </c>
      <c r="I14" s="206">
        <f>(I12/H12-1)*100</f>
        <v>3.9933052186714058</v>
      </c>
      <c r="J14" s="206">
        <f>(J12-I12)/I12*100</f>
        <v>4.6251056589253805</v>
      </c>
      <c r="K14" s="206">
        <f>(K12-J12)/J12*100</f>
        <v>-2.1763540697289203E-2</v>
      </c>
      <c r="L14" s="206">
        <f t="shared" ref="L14:M14" si="13">(L12-K12)/K12*100</f>
        <v>5.9810327135035513</v>
      </c>
      <c r="M14" s="206">
        <f t="shared" si="13"/>
        <v>1.8875211986198177</v>
      </c>
      <c r="N14" s="203">
        <f>(N12-M12)/K12*100</f>
        <v>0.54074826526305175</v>
      </c>
      <c r="O14" s="203">
        <f t="shared" ref="O14:Q14" si="14">(O12-N12)/N12*100</f>
        <v>3.0015318484446105</v>
      </c>
      <c r="P14" s="203">
        <f t="shared" si="14"/>
        <v>2.9966651080492541</v>
      </c>
      <c r="Q14" s="204">
        <f t="shared" si="14"/>
        <v>2.9986740556896643</v>
      </c>
    </row>
    <row r="15" spans="1:20" ht="14.4" thickBot="1">
      <c r="B15" s="365" t="s">
        <v>72</v>
      </c>
      <c r="C15" s="361" t="s">
        <v>73</v>
      </c>
      <c r="D15" s="82">
        <v>45034</v>
      </c>
      <c r="E15" s="207">
        <v>36653.895134297949</v>
      </c>
      <c r="F15" s="207">
        <v>37495.391046367389</v>
      </c>
      <c r="G15" s="207">
        <v>38408.37555923016</v>
      </c>
      <c r="H15" s="207">
        <v>39440.940412143915</v>
      </c>
      <c r="I15" s="207">
        <v>40645.265591044728</v>
      </c>
      <c r="J15" s="207">
        <v>41978.208030005335</v>
      </c>
      <c r="K15" s="207">
        <v>43304.409809769211</v>
      </c>
      <c r="L15" s="207">
        <v>44789.705430904629</v>
      </c>
      <c r="M15" s="207">
        <v>46297.674332821392</v>
      </c>
      <c r="N15" s="207">
        <v>47853.899378791502</v>
      </c>
      <c r="O15" s="207">
        <v>49428.811201546632</v>
      </c>
      <c r="P15" s="207">
        <v>51003.395184629953</v>
      </c>
      <c r="Q15" s="208">
        <v>52563.426428999956</v>
      </c>
    </row>
    <row r="16" spans="1:20" ht="14.4" thickBot="1">
      <c r="B16" s="366"/>
      <c r="C16" s="361"/>
      <c r="D16" s="82">
        <v>45034</v>
      </c>
      <c r="E16" s="203">
        <v>36444.099502303681</v>
      </c>
      <c r="F16" s="203">
        <v>37216.375088833898</v>
      </c>
      <c r="G16" s="203">
        <v>37938.772538068595</v>
      </c>
      <c r="H16" s="203">
        <v>38850.551930175556</v>
      </c>
      <c r="I16" s="203">
        <v>40118.219557339282</v>
      </c>
      <c r="J16" s="203">
        <v>41812.46926117775</v>
      </c>
      <c r="K16" s="203">
        <v>43601.39993998874</v>
      </c>
      <c r="L16" s="203">
        <v>45449.303264985851</v>
      </c>
      <c r="M16" s="203">
        <v>47094.492218302003</v>
      </c>
      <c r="N16" s="203">
        <v>48402.779588661921</v>
      </c>
      <c r="O16" s="203">
        <v>49472.964691725625</v>
      </c>
      <c r="P16" s="203">
        <v>50477.04822062303</v>
      </c>
      <c r="Q16" s="204">
        <v>51477.206949833184</v>
      </c>
      <c r="R16" s="48"/>
      <c r="S16" s="48"/>
      <c r="T16" s="48"/>
    </row>
    <row r="17" spans="2:18" ht="14.4" thickBot="1">
      <c r="B17" s="365" t="s">
        <v>74</v>
      </c>
      <c r="C17" s="361" t="s">
        <v>75</v>
      </c>
      <c r="D17" s="82">
        <f>D15</f>
        <v>45034</v>
      </c>
      <c r="E17" s="207"/>
      <c r="F17" s="207">
        <f t="shared" ref="F17:I18" si="15">(F15/E15-1)*100</f>
        <v>2.2957885075685525</v>
      </c>
      <c r="G17" s="207">
        <f>(G15/F15-1)*100</f>
        <v>2.4349246330936047</v>
      </c>
      <c r="H17" s="207">
        <f t="shared" si="15"/>
        <v>2.6883845980974153</v>
      </c>
      <c r="I17" s="207">
        <f t="shared" si="15"/>
        <v>3.0534900190412273</v>
      </c>
      <c r="J17" s="207">
        <f>(J15/I15-1)*100</f>
        <v>3.279453140673505</v>
      </c>
      <c r="K17" s="207">
        <f>(K15/J15-1)*100</f>
        <v>3.1592624888035381</v>
      </c>
      <c r="L17" s="207">
        <f t="shared" ref="L17:M17" si="16">(L15/K15-1)*100</f>
        <v>3.4298946173383582</v>
      </c>
      <c r="M17" s="207">
        <f t="shared" si="16"/>
        <v>3.3667756628653178</v>
      </c>
      <c r="N17" s="207">
        <f>(N15/M15-1)*100</f>
        <v>3.3613460468507217</v>
      </c>
      <c r="O17" s="207">
        <f>(O15/N15-1)*100</f>
        <v>3.2910835756325474</v>
      </c>
      <c r="P17" s="207">
        <f t="shared" ref="P17:Q17" si="17">(P15/O15-1)*100</f>
        <v>3.1855590794262367</v>
      </c>
      <c r="Q17" s="208">
        <f t="shared" si="17"/>
        <v>3.0586811696020622</v>
      </c>
    </row>
    <row r="18" spans="2:18" ht="14.4" thickBot="1">
      <c r="B18" s="366"/>
      <c r="C18" s="361"/>
      <c r="D18" s="82">
        <f>$D$16</f>
        <v>45034</v>
      </c>
      <c r="E18" s="203"/>
      <c r="F18" s="203">
        <f t="shared" si="15"/>
        <v>2.1190689222034376</v>
      </c>
      <c r="G18" s="203">
        <f>(G16/F16-1)*100</f>
        <v>1.9410741844426482</v>
      </c>
      <c r="H18" s="203">
        <f t="shared" si="15"/>
        <v>2.4032917543446164</v>
      </c>
      <c r="I18" s="203">
        <f t="shared" si="15"/>
        <v>3.2629333797935534</v>
      </c>
      <c r="J18" s="203">
        <f>(J16/I16-1)*100</f>
        <v>4.2231428077633026</v>
      </c>
      <c r="K18" s="203">
        <f>(K16/J16-1)*100</f>
        <v>4.2784621679159862</v>
      </c>
      <c r="L18" s="203">
        <f t="shared" ref="L18:M18" si="18">(L16/K16-1)*100</f>
        <v>4.2381742961017155</v>
      </c>
      <c r="M18" s="203">
        <f t="shared" si="18"/>
        <v>3.6198331660314054</v>
      </c>
      <c r="N18" s="203">
        <f>(N16/M16-1)*100</f>
        <v>2.7780050463130035</v>
      </c>
      <c r="O18" s="203">
        <f>(O16/N16-1)*100</f>
        <v>2.2109992693774672</v>
      </c>
      <c r="P18" s="203">
        <f t="shared" ref="P18:Q18" si="19">(P16/O16-1)*100</f>
        <v>2.029560053968904</v>
      </c>
      <c r="Q18" s="204">
        <f t="shared" si="19"/>
        <v>1.9814128687531518</v>
      </c>
    </row>
    <row r="19" spans="2:18" ht="14.4" thickBot="1">
      <c r="B19" s="365" t="s">
        <v>76</v>
      </c>
      <c r="C19" s="361" t="s">
        <v>77</v>
      </c>
      <c r="D19" s="82">
        <f>D15</f>
        <v>45034</v>
      </c>
      <c r="E19" s="207">
        <f t="shared" ref="E19:M19" si="20">(E12/E15-1)*100</f>
        <v>-0.13446902196166954</v>
      </c>
      <c r="F19" s="207">
        <f t="shared" si="20"/>
        <v>-0.39922785758461643</v>
      </c>
      <c r="G19" s="207">
        <f t="shared" si="20"/>
        <v>-0.31764831876842647</v>
      </c>
      <c r="H19" s="207">
        <f t="shared" si="20"/>
        <v>1.2298986352432983</v>
      </c>
      <c r="I19" s="207">
        <f t="shared" si="20"/>
        <v>2.1530832588484428</v>
      </c>
      <c r="J19" s="207">
        <f t="shared" si="20"/>
        <v>3.4840600364581142</v>
      </c>
      <c r="K19" s="207">
        <f>(K12/K15-1)*100</f>
        <v>0.29301852770238224</v>
      </c>
      <c r="L19" s="207">
        <f t="shared" si="20"/>
        <v>2.7667843696965067</v>
      </c>
      <c r="M19" s="207">
        <f t="shared" si="20"/>
        <v>1.2961162214431221</v>
      </c>
      <c r="N19" s="207">
        <f>(N12/N15-1)*100</f>
        <v>-1.5072948874698788</v>
      </c>
      <c r="O19" s="207">
        <f>(O12/O15-1)*100</f>
        <v>-1.7833955139083923</v>
      </c>
      <c r="P19" s="207">
        <f t="shared" ref="P19:Q19" si="21">(P12/P15-1)*100</f>
        <v>-1.9631931972475813</v>
      </c>
      <c r="Q19" s="208">
        <f t="shared" si="21"/>
        <v>-2.0202762664917828</v>
      </c>
      <c r="R19" s="53"/>
    </row>
    <row r="20" spans="2:18" ht="14.4" thickBot="1">
      <c r="B20" s="366"/>
      <c r="C20" s="361"/>
      <c r="D20" s="82">
        <f>$D$16</f>
        <v>45034</v>
      </c>
      <c r="E20" s="203">
        <f t="shared" ref="E20:I20" si="22">(E$12/E16-1)*100</f>
        <v>0.44042108294148896</v>
      </c>
      <c r="F20" s="203">
        <f t="shared" si="22"/>
        <v>0.34749195980912084</v>
      </c>
      <c r="G20" s="203">
        <f t="shared" si="22"/>
        <v>0.91621167127275971</v>
      </c>
      <c r="H20" s="203">
        <f t="shared" si="22"/>
        <v>2.768228548611984</v>
      </c>
      <c r="I20" s="203">
        <f t="shared" si="22"/>
        <v>3.4951013732218428</v>
      </c>
      <c r="J20" s="203">
        <f>(J$12/J16-1)*100</f>
        <v>3.8942563488688409</v>
      </c>
      <c r="K20" s="203">
        <f>(K$12/K16-1)*100</f>
        <v>-0.39012551523313066</v>
      </c>
      <c r="L20" s="203">
        <f t="shared" ref="L20" si="23">(L$12/L16-1)*100</f>
        <v>1.2753479005710222</v>
      </c>
      <c r="M20" s="203">
        <f>(M$12/M16-1)*100</f>
        <v>-0.41776906180451823</v>
      </c>
      <c r="N20" s="203">
        <f>(N$12/N16-1)*100</f>
        <v>-2.6241872872926009</v>
      </c>
      <c r="O20" s="203">
        <f>(O$12/O16-1)*100</f>
        <v>-1.8710515884657331</v>
      </c>
      <c r="P20" s="203">
        <f t="shared" ref="P20" si="24">(P$12/P16-1)*100</f>
        <v>-0.94091916497800465</v>
      </c>
      <c r="Q20" s="204">
        <f>(Q$12/Q16-1)*100</f>
        <v>4.7191857535100468E-2</v>
      </c>
    </row>
    <row r="21" spans="2:18" ht="17.399999999999999" customHeight="1" thickBot="1">
      <c r="B21" s="367" t="s">
        <v>78</v>
      </c>
      <c r="C21" s="361" t="s">
        <v>79</v>
      </c>
      <c r="D21" s="82">
        <f>$D$15</f>
        <v>45034</v>
      </c>
      <c r="E21" s="207">
        <f t="shared" ref="E21:Q21" si="25">E19*E37</f>
        <v>0</v>
      </c>
      <c r="F21" s="207">
        <f>F19*F37</f>
        <v>0</v>
      </c>
      <c r="G21" s="207">
        <f t="shared" si="25"/>
        <v>0</v>
      </c>
      <c r="H21" s="207">
        <f t="shared" si="25"/>
        <v>0</v>
      </c>
      <c r="I21" s="207">
        <f t="shared" si="25"/>
        <v>0.85908022028052866</v>
      </c>
      <c r="J21" s="207">
        <f t="shared" si="25"/>
        <v>1.3901399545467876</v>
      </c>
      <c r="K21" s="207">
        <f t="shared" si="25"/>
        <v>0.11691439255325052</v>
      </c>
      <c r="L21" s="207">
        <f t="shared" ref="L21:M21" si="26">L19*L37</f>
        <v>1.1039469635089063</v>
      </c>
      <c r="M21" s="207">
        <f t="shared" si="26"/>
        <v>0.51715037235580574</v>
      </c>
      <c r="N21" s="207">
        <f>N19*N37</f>
        <v>-0.60141066010048172</v>
      </c>
      <c r="O21" s="207">
        <f t="shared" si="25"/>
        <v>-0.71157481004944856</v>
      </c>
      <c r="P21" s="207">
        <f t="shared" si="25"/>
        <v>-0.78331408570178496</v>
      </c>
      <c r="Q21" s="208">
        <f t="shared" si="25"/>
        <v>-0.80609023033022142</v>
      </c>
    </row>
    <row r="22" spans="2:18" ht="14.4" thickBot="1">
      <c r="B22" s="368"/>
      <c r="C22" s="361"/>
      <c r="D22" s="82">
        <f>$D$16</f>
        <v>45034</v>
      </c>
      <c r="E22" s="203">
        <f t="shared" ref="E22:Q22" si="27">E20*E37</f>
        <v>0</v>
      </c>
      <c r="F22" s="203">
        <f t="shared" si="27"/>
        <v>0</v>
      </c>
      <c r="G22" s="203">
        <f>G20*G37</f>
        <v>0</v>
      </c>
      <c r="H22" s="203">
        <f t="shared" si="27"/>
        <v>0</v>
      </c>
      <c r="I22" s="203">
        <f t="shared" si="27"/>
        <v>1.3945454479155153</v>
      </c>
      <c r="J22" s="203">
        <f t="shared" si="27"/>
        <v>1.5538082831986675</v>
      </c>
      <c r="K22" s="203">
        <f t="shared" si="27"/>
        <v>-0.15566008057801914</v>
      </c>
      <c r="L22" s="203">
        <f t="shared" ref="L22:M22" si="28">L20*L37</f>
        <v>0.50886381232783784</v>
      </c>
      <c r="M22" s="203">
        <f t="shared" si="28"/>
        <v>-0.16668985566000277</v>
      </c>
      <c r="N22" s="203">
        <f>N20*N37</f>
        <v>-1.0470507276297478</v>
      </c>
      <c r="O22" s="203">
        <f t="shared" si="27"/>
        <v>-0.74654958379782754</v>
      </c>
      <c r="P22" s="203">
        <f t="shared" si="27"/>
        <v>-0.3754267468262239</v>
      </c>
      <c r="Q22" s="204">
        <f t="shared" si="27"/>
        <v>1.8829551156505087E-2</v>
      </c>
    </row>
    <row r="23" spans="2:18" ht="17.399999999999999" customHeight="1" thickBot="1">
      <c r="B23" s="367" t="s">
        <v>80</v>
      </c>
      <c r="C23" s="361" t="s">
        <v>81</v>
      </c>
      <c r="D23" s="82">
        <f>$D$15</f>
        <v>45034</v>
      </c>
      <c r="E23" s="209"/>
      <c r="F23" s="209"/>
      <c r="G23" s="209"/>
      <c r="H23" s="209"/>
      <c r="I23" s="207">
        <f t="shared" ref="I23:Q23" si="29">I19*I38</f>
        <v>0.22499720054966227</v>
      </c>
      <c r="J23" s="207">
        <f t="shared" si="29"/>
        <v>0.35189006368226955</v>
      </c>
      <c r="K23" s="207">
        <f t="shared" si="29"/>
        <v>2.5785630437809636E-2</v>
      </c>
      <c r="L23" s="207">
        <f t="shared" ref="L23" si="30">L19*L38</f>
        <v>0.24347702453329256</v>
      </c>
      <c r="M23" s="207">
        <f>M19*M38</f>
        <v>0.1179465761513241</v>
      </c>
      <c r="N23" s="207">
        <f>N19*N38</f>
        <v>-0.13716383475975896</v>
      </c>
      <c r="O23" s="207">
        <f>O19*O38</f>
        <v>-0.16228899176566369</v>
      </c>
      <c r="P23" s="207">
        <f t="shared" si="29"/>
        <v>0</v>
      </c>
      <c r="Q23" s="208">
        <f t="shared" si="29"/>
        <v>0</v>
      </c>
    </row>
    <row r="24" spans="2:18" ht="14.4" thickBot="1">
      <c r="B24" s="367"/>
      <c r="C24" s="361"/>
      <c r="D24" s="82">
        <f>$D$16</f>
        <v>45034</v>
      </c>
      <c r="E24" s="209"/>
      <c r="F24" s="209"/>
      <c r="G24" s="209"/>
      <c r="H24" s="209"/>
      <c r="I24" s="203">
        <f t="shared" ref="I24:Q24" si="31">I20*I38</f>
        <v>0.36523809350168257</v>
      </c>
      <c r="J24" s="203">
        <f t="shared" si="31"/>
        <v>0.39331989123575295</v>
      </c>
      <c r="K24" s="203">
        <f t="shared" si="31"/>
        <v>-3.4331045340515495E-2</v>
      </c>
      <c r="L24" s="203">
        <f t="shared" ref="L24:M24" si="32">L20*L38</f>
        <v>0.11223061525024995</v>
      </c>
      <c r="M24" s="203">
        <f t="shared" si="32"/>
        <v>-3.8016984624211159E-2</v>
      </c>
      <c r="N24" s="203">
        <f t="shared" si="31"/>
        <v>-0.23880104314362668</v>
      </c>
      <c r="O24" s="203">
        <f t="shared" si="31"/>
        <v>-0.17026569455038171</v>
      </c>
      <c r="P24" s="203">
        <f t="shared" si="31"/>
        <v>0</v>
      </c>
      <c r="Q24" s="204">
        <f t="shared" si="31"/>
        <v>0</v>
      </c>
    </row>
    <row r="25" spans="2:18" s="10" customFormat="1" ht="15.75" customHeight="1" thickBot="1">
      <c r="B25" s="367" t="s">
        <v>82</v>
      </c>
      <c r="C25" s="361" t="s">
        <v>83</v>
      </c>
      <c r="D25" s="82">
        <f>$D$15</f>
        <v>45034</v>
      </c>
      <c r="E25" s="209"/>
      <c r="F25" s="209"/>
      <c r="G25" s="209"/>
      <c r="H25" s="209"/>
      <c r="I25" s="207">
        <f t="shared" ref="I25:Q25" si="33">I19*I39</f>
        <v>9.6888746648179924E-2</v>
      </c>
      <c r="J25" s="207">
        <f t="shared" si="33"/>
        <v>0.15678270164061514</v>
      </c>
      <c r="K25" s="207">
        <f t="shared" si="33"/>
        <v>1.2306778163500055E-2</v>
      </c>
      <c r="L25" s="207">
        <f t="shared" ref="L25:M25" si="34">L19*L39</f>
        <v>0.11620494352725329</v>
      </c>
      <c r="M25" s="207">
        <f t="shared" si="34"/>
        <v>5.9621346186383616E-2</v>
      </c>
      <c r="N25" s="207">
        <f t="shared" si="33"/>
        <v>-6.9335564823614429E-2</v>
      </c>
      <c r="O25" s="207">
        <f>O19*O39</f>
        <v>-8.2036193639786051E-2</v>
      </c>
      <c r="P25" s="207">
        <f t="shared" si="33"/>
        <v>0</v>
      </c>
      <c r="Q25" s="208">
        <f t="shared" si="33"/>
        <v>0</v>
      </c>
      <c r="R25" s="1"/>
    </row>
    <row r="26" spans="2:18" s="10" customFormat="1" ht="14.4" thickBot="1">
      <c r="B26" s="367"/>
      <c r="C26" s="361"/>
      <c r="D26" s="82">
        <f>$D$16</f>
        <v>45034</v>
      </c>
      <c r="E26" s="209"/>
      <c r="F26" s="209"/>
      <c r="G26" s="209"/>
      <c r="H26" s="209"/>
      <c r="I26" s="203">
        <f>I20*I39</f>
        <v>0.15727956179498292</v>
      </c>
      <c r="J26" s="203">
        <f t="shared" ref="J26:Q26" si="35">J20*J39</f>
        <v>0.17524153569909784</v>
      </c>
      <c r="K26" s="203">
        <f t="shared" si="35"/>
        <v>-1.6385271639791487E-2</v>
      </c>
      <c r="L26" s="203">
        <f t="shared" ref="L26:M26" si="36">L20*L39</f>
        <v>5.3564611823982936E-2</v>
      </c>
      <c r="M26" s="203">
        <f t="shared" si="36"/>
        <v>-1.9217376843007838E-2</v>
      </c>
      <c r="N26" s="203">
        <f t="shared" si="35"/>
        <v>-0.12071261521545963</v>
      </c>
      <c r="O26" s="203">
        <f t="shared" si="35"/>
        <v>-8.606837306942372E-2</v>
      </c>
      <c r="P26" s="203">
        <f t="shared" si="35"/>
        <v>0</v>
      </c>
      <c r="Q26" s="204">
        <f t="shared" si="35"/>
        <v>0</v>
      </c>
      <c r="R26" s="1"/>
    </row>
    <row r="27" spans="2:18" ht="14.4" thickBot="1">
      <c r="B27" s="365" t="s">
        <v>84</v>
      </c>
      <c r="C27" s="361" t="s">
        <v>85</v>
      </c>
      <c r="D27" s="82">
        <f>$D$7</f>
        <v>44986</v>
      </c>
      <c r="E27" s="209">
        <f t="shared" ref="E27:J28" si="37">E7/E11*100</f>
        <v>99.936357116581576</v>
      </c>
      <c r="F27" s="209">
        <f t="shared" si="37"/>
        <v>99.999998050579165</v>
      </c>
      <c r="G27" s="209">
        <f t="shared" si="37"/>
        <v>101.5762537262775</v>
      </c>
      <c r="H27" s="209">
        <f t="shared" si="37"/>
        <v>105.88656974342202</v>
      </c>
      <c r="I27" s="209">
        <f t="shared" si="37"/>
        <v>109.62137821314235</v>
      </c>
      <c r="J27" s="209">
        <f t="shared" si="37"/>
        <v>112.58603811695924</v>
      </c>
      <c r="K27" s="209">
        <f>K7/K11*100</f>
        <v>114.59381061536334</v>
      </c>
      <c r="L27" s="209">
        <f t="shared" ref="L27:M27" si="38">L7/L11*100</f>
        <v>122.05163757007415</v>
      </c>
      <c r="M27" s="209">
        <f t="shared" si="38"/>
        <v>142.68958084465018</v>
      </c>
      <c r="N27" s="209">
        <f t="shared" ref="N27:Q27" si="39">N7/N11*100</f>
        <v>156.64253616392901</v>
      </c>
      <c r="O27" s="209">
        <f t="shared" si="39"/>
        <v>160.21405927827089</v>
      </c>
      <c r="P27" s="209">
        <f t="shared" si="39"/>
        <v>163.48073380918004</v>
      </c>
      <c r="Q27" s="209">
        <f t="shared" si="39"/>
        <v>166.76116229624381</v>
      </c>
    </row>
    <row r="28" spans="2:18" ht="14.4" thickBot="1">
      <c r="B28" s="366"/>
      <c r="C28" s="361"/>
      <c r="D28" s="82">
        <f>$D$8</f>
        <v>44986</v>
      </c>
      <c r="E28" s="209">
        <f>E8/E12*100</f>
        <v>99.936357116581576</v>
      </c>
      <c r="F28" s="209">
        <f t="shared" si="37"/>
        <v>99.999998050579165</v>
      </c>
      <c r="G28" s="209">
        <f t="shared" si="37"/>
        <v>101.5762537262775</v>
      </c>
      <c r="H28" s="209">
        <f t="shared" si="37"/>
        <v>105.88656974342202</v>
      </c>
      <c r="I28" s="209">
        <f t="shared" si="37"/>
        <v>109.62137821314235</v>
      </c>
      <c r="J28" s="209">
        <f t="shared" si="37"/>
        <v>112.58603811695924</v>
      </c>
      <c r="K28" s="209">
        <f>K8/K12*100</f>
        <v>114.59381126490055</v>
      </c>
      <c r="L28" s="209">
        <f t="shared" ref="L28:M28" si="40">L8/L12*100</f>
        <v>122.05163757007415</v>
      </c>
      <c r="M28" s="209">
        <f t="shared" si="40"/>
        <v>142.68958084465018</v>
      </c>
      <c r="N28" s="209">
        <f t="shared" ref="N28:Q28" si="41">N8/N12*100</f>
        <v>156.64253616392901</v>
      </c>
      <c r="O28" s="209">
        <f t="shared" si="41"/>
        <v>160.21405927827089</v>
      </c>
      <c r="P28" s="209">
        <f t="shared" si="41"/>
        <v>163.48073380918004</v>
      </c>
      <c r="Q28" s="209">
        <f t="shared" si="41"/>
        <v>166.76116229624381</v>
      </c>
    </row>
    <row r="29" spans="2:18" ht="14.4" thickBot="1">
      <c r="B29" s="365" t="s">
        <v>86</v>
      </c>
      <c r="C29" s="361" t="s">
        <v>87</v>
      </c>
      <c r="D29" s="82">
        <f>$D$7</f>
        <v>44986</v>
      </c>
      <c r="E29" s="209"/>
      <c r="F29" s="209">
        <f t="shared" ref="F29:J30" si="42">(F27/E27-1)*100</f>
        <v>6.3681462716669301E-2</v>
      </c>
      <c r="G29" s="209">
        <f t="shared" si="42"/>
        <v>1.5762557064261884</v>
      </c>
      <c r="H29" s="209">
        <f t="shared" si="42"/>
        <v>4.2434288123676334</v>
      </c>
      <c r="I29" s="209">
        <f t="shared" si="42"/>
        <v>3.5271786391515958</v>
      </c>
      <c r="J29" s="209">
        <f t="shared" si="42"/>
        <v>2.7044541421952895</v>
      </c>
      <c r="K29" s="209">
        <f>(K27/J27-1)*100</f>
        <v>1.7833228098126375</v>
      </c>
      <c r="L29" s="209">
        <f t="shared" ref="L29:Q29" si="43">(L27/K27-1)*100</f>
        <v>6.5080538945887501</v>
      </c>
      <c r="M29" s="209">
        <f t="shared" si="43"/>
        <v>16.909189983401141</v>
      </c>
      <c r="N29" s="209">
        <f t="shared" si="43"/>
        <v>9.7785383043978324</v>
      </c>
      <c r="O29" s="209">
        <f t="shared" si="43"/>
        <v>2.2800467879326325</v>
      </c>
      <c r="P29" s="209">
        <f t="shared" si="43"/>
        <v>2.0389437391604703</v>
      </c>
      <c r="Q29" s="209">
        <f t="shared" si="43"/>
        <v>2.0066147310623172</v>
      </c>
    </row>
    <row r="30" spans="2:18" ht="14.4" thickBot="1">
      <c r="B30" s="366"/>
      <c r="C30" s="361"/>
      <c r="D30" s="82">
        <f>$D$8</f>
        <v>44986</v>
      </c>
      <c r="E30" s="209"/>
      <c r="F30" s="209">
        <f t="shared" ref="F30:H30" si="44">(F28/E28-1)*100</f>
        <v>6.3681462716669301E-2</v>
      </c>
      <c r="G30" s="209">
        <f t="shared" si="44"/>
        <v>1.5762557064261884</v>
      </c>
      <c r="H30" s="209">
        <f t="shared" si="44"/>
        <v>4.2434288123676334</v>
      </c>
      <c r="I30" s="209">
        <f t="shared" si="42"/>
        <v>3.5271786391515958</v>
      </c>
      <c r="J30" s="209">
        <f>(J28/I28-1)*100</f>
        <v>2.7044541421952895</v>
      </c>
      <c r="K30" s="209">
        <f>(K28/J28-1)*100</f>
        <v>1.783323386737834</v>
      </c>
      <c r="L30" s="209">
        <f t="shared" ref="L30:Q30" si="45">(L28/K28-1)*100</f>
        <v>6.5080532908829758</v>
      </c>
      <c r="M30" s="209">
        <f t="shared" si="45"/>
        <v>16.909189983401141</v>
      </c>
      <c r="N30" s="209">
        <f t="shared" si="45"/>
        <v>9.7785383043978324</v>
      </c>
      <c r="O30" s="209">
        <f>(O28/N28-1)*100</f>
        <v>2.2800467879326325</v>
      </c>
      <c r="P30" s="209">
        <f t="shared" si="45"/>
        <v>2.0389437391604703</v>
      </c>
      <c r="Q30" s="209">
        <f t="shared" si="45"/>
        <v>2.0066147310623172</v>
      </c>
    </row>
    <row r="31" spans="2:18" ht="28.8" thickBot="1">
      <c r="B31" s="91" t="s">
        <v>88</v>
      </c>
      <c r="C31" s="83" t="s">
        <v>89</v>
      </c>
      <c r="D31" s="82">
        <f>D21</f>
        <v>45034</v>
      </c>
      <c r="E31" s="202">
        <v>11782.085300000001</v>
      </c>
      <c r="F31" s="202">
        <v>12215.1458</v>
      </c>
      <c r="G31" s="202">
        <v>12548.705699999999</v>
      </c>
      <c r="H31" s="202">
        <v>13074.833000000001</v>
      </c>
      <c r="I31" s="202">
        <v>13533.330199999999</v>
      </c>
      <c r="J31" s="202">
        <v>14018.694300000001</v>
      </c>
      <c r="K31" s="202">
        <v>13461.563400000001</v>
      </c>
      <c r="L31" s="202">
        <v>14530.921</v>
      </c>
      <c r="M31" s="202">
        <v>15810.106300000001</v>
      </c>
      <c r="N31" s="211"/>
      <c r="O31" s="211"/>
      <c r="P31" s="211"/>
      <c r="Q31" s="212"/>
    </row>
    <row r="32" spans="2:18" ht="29.25" customHeight="1" thickBot="1">
      <c r="B32" s="91" t="s">
        <v>90</v>
      </c>
      <c r="C32" s="83" t="s">
        <v>91</v>
      </c>
      <c r="D32" s="82">
        <f>$D$31</f>
        <v>45034</v>
      </c>
      <c r="E32" s="205"/>
      <c r="F32" s="205">
        <f t="shared" ref="F32:H32" si="46">(F31/E31-1)*100</f>
        <v>3.6755844909729163</v>
      </c>
      <c r="G32" s="205">
        <f t="shared" si="46"/>
        <v>2.7307074795619668</v>
      </c>
      <c r="H32" s="205">
        <f t="shared" si="46"/>
        <v>4.1926817998449106</v>
      </c>
      <c r="I32" s="205">
        <f>(I31/H31-1)*100</f>
        <v>3.5067155351047097</v>
      </c>
      <c r="J32" s="205">
        <f>(J31/I31-1)*100</f>
        <v>3.5864350668101119</v>
      </c>
      <c r="K32" s="205">
        <f>(K31/J31-1)*100</f>
        <v>-3.974199651389787</v>
      </c>
      <c r="L32" s="205">
        <f t="shared" ref="L32:M32" si="47">(L31/K31-1)*100</f>
        <v>7.9437845978573174</v>
      </c>
      <c r="M32" s="205">
        <f t="shared" si="47"/>
        <v>8.8031949248089667</v>
      </c>
      <c r="N32" s="211"/>
      <c r="O32" s="211"/>
      <c r="P32" s="211"/>
      <c r="Q32" s="212"/>
    </row>
    <row r="33" spans="2:17" s="12" customFormat="1" ht="14.4" thickBot="1">
      <c r="B33" s="367" t="s">
        <v>92</v>
      </c>
      <c r="C33" s="361" t="s">
        <v>93</v>
      </c>
      <c r="D33" s="82">
        <f>D31</f>
        <v>45034</v>
      </c>
      <c r="E33" s="202">
        <v>-220</v>
      </c>
      <c r="F33" s="202">
        <v>-111.8</v>
      </c>
      <c r="G33" s="202">
        <v>97.8</v>
      </c>
      <c r="H33" s="202">
        <v>176.4</v>
      </c>
      <c r="I33" s="202">
        <v>244.6</v>
      </c>
      <c r="J33" s="202">
        <v>230.7</v>
      </c>
      <c r="K33" s="202">
        <v>-3247.8</v>
      </c>
      <c r="L33" s="202">
        <v>-646.4</v>
      </c>
      <c r="M33" s="202">
        <v>-384.5</v>
      </c>
      <c r="N33" s="211"/>
      <c r="O33" s="211"/>
      <c r="P33" s="211"/>
      <c r="Q33" s="212"/>
    </row>
    <row r="34" spans="2:17" s="12" customFormat="1" ht="14.4" thickBot="1">
      <c r="B34" s="368"/>
      <c r="C34" s="361"/>
      <c r="D34" s="82">
        <f>D33</f>
        <v>45034</v>
      </c>
      <c r="E34" s="202">
        <f>E33</f>
        <v>-220</v>
      </c>
      <c r="F34" s="202">
        <f t="shared" ref="F34:M34" si="48">F33</f>
        <v>-111.8</v>
      </c>
      <c r="G34" s="202">
        <f t="shared" si="48"/>
        <v>97.8</v>
      </c>
      <c r="H34" s="202">
        <f t="shared" si="48"/>
        <v>176.4</v>
      </c>
      <c r="I34" s="202">
        <f t="shared" si="48"/>
        <v>244.6</v>
      </c>
      <c r="J34" s="202">
        <f t="shared" si="48"/>
        <v>230.7</v>
      </c>
      <c r="K34" s="202">
        <f t="shared" si="48"/>
        <v>-3247.8</v>
      </c>
      <c r="L34" s="202">
        <f t="shared" si="48"/>
        <v>-646.4</v>
      </c>
      <c r="M34" s="202">
        <f t="shared" si="48"/>
        <v>-384.5</v>
      </c>
      <c r="N34" s="211"/>
      <c r="O34" s="211"/>
      <c r="P34" s="211"/>
      <c r="Q34" s="212"/>
    </row>
    <row r="35" spans="2:17" ht="14.4" thickBot="1">
      <c r="B35" s="365" t="s">
        <v>94</v>
      </c>
      <c r="C35" s="361" t="s">
        <v>95</v>
      </c>
      <c r="D35" s="82">
        <f>+D33</f>
        <v>45034</v>
      </c>
      <c r="E35" s="209">
        <f t="shared" ref="E35:J36" si="49">E33/E7*100</f>
        <v>-0.60139999183554604</v>
      </c>
      <c r="F35" s="209">
        <f t="shared" si="49"/>
        <v>-0.29936513486988831</v>
      </c>
      <c r="G35" s="209">
        <f t="shared" si="49"/>
        <v>0.25147941918983774</v>
      </c>
      <c r="H35" s="209">
        <f t="shared" si="49"/>
        <v>0.41725508495451569</v>
      </c>
      <c r="I35" s="209">
        <f t="shared" si="49"/>
        <v>0.53740258319104561</v>
      </c>
      <c r="J35" s="209">
        <f t="shared" si="49"/>
        <v>0.47169981203116901</v>
      </c>
      <c r="K35" s="209">
        <f>K33/K7*100</f>
        <v>-6.5256726921041937</v>
      </c>
      <c r="L35" s="209">
        <f t="shared" ref="L35:M35" si="50">L33/L7*100</f>
        <v>-1.150606341772541</v>
      </c>
      <c r="M35" s="209">
        <f t="shared" si="50"/>
        <v>-0.57458212583211321</v>
      </c>
      <c r="N35" s="211"/>
      <c r="O35" s="211"/>
      <c r="P35" s="211"/>
      <c r="Q35" s="212"/>
    </row>
    <row r="36" spans="2:17" ht="14.4" thickBot="1">
      <c r="B36" s="366"/>
      <c r="C36" s="361"/>
      <c r="D36" s="82">
        <f>D10</f>
        <v>44986</v>
      </c>
      <c r="E36" s="209">
        <f t="shared" si="49"/>
        <v>-0.60139999183554604</v>
      </c>
      <c r="F36" s="209">
        <f t="shared" si="49"/>
        <v>-0.29936513486988831</v>
      </c>
      <c r="G36" s="209">
        <f t="shared" si="49"/>
        <v>0.25147941918983774</v>
      </c>
      <c r="H36" s="209">
        <f t="shared" si="49"/>
        <v>0.41725508495451569</v>
      </c>
      <c r="I36" s="209">
        <f t="shared" si="49"/>
        <v>0.53740258319104561</v>
      </c>
      <c r="J36" s="209">
        <f t="shared" si="49"/>
        <v>0.47169981203116901</v>
      </c>
      <c r="K36" s="209">
        <f>K34/K8*100</f>
        <v>-6.5256726921041937</v>
      </c>
      <c r="L36" s="209">
        <f t="shared" ref="L36:M36" si="51">L34/L8*100</f>
        <v>-1.150606341772541</v>
      </c>
      <c r="M36" s="209">
        <f t="shared" si="51"/>
        <v>-0.57458212583211321</v>
      </c>
      <c r="N36" s="211"/>
      <c r="O36" s="211"/>
      <c r="P36" s="211"/>
      <c r="Q36" s="212"/>
    </row>
    <row r="37" spans="2:17" ht="36.75" customHeight="1" thickBot="1">
      <c r="B37" s="91" t="s">
        <v>96</v>
      </c>
      <c r="C37" s="84" t="s">
        <v>97</v>
      </c>
      <c r="D37" s="82">
        <v>44489</v>
      </c>
      <c r="E37" s="213"/>
      <c r="F37" s="213"/>
      <c r="G37" s="213"/>
      <c r="H37" s="213"/>
      <c r="I37" s="214">
        <v>0.39900000000000002</v>
      </c>
      <c r="J37" s="214">
        <v>0.39900000000000002</v>
      </c>
      <c r="K37" s="214">
        <v>0.39900000000000002</v>
      </c>
      <c r="L37" s="214">
        <v>0.39900000000000002</v>
      </c>
      <c r="M37" s="214">
        <v>0.39900000000000002</v>
      </c>
      <c r="N37" s="214">
        <v>0.39900000000000002</v>
      </c>
      <c r="O37" s="214">
        <v>0.39900000000000002</v>
      </c>
      <c r="P37" s="214">
        <v>0.39900000000000002</v>
      </c>
      <c r="Q37" s="215">
        <v>0.39900000000000002</v>
      </c>
    </row>
    <row r="38" spans="2:17" ht="36.75" customHeight="1" thickBot="1">
      <c r="B38" s="91" t="s">
        <v>98</v>
      </c>
      <c r="C38" s="84" t="s">
        <v>99</v>
      </c>
      <c r="D38" s="82">
        <f>D26</f>
        <v>45034</v>
      </c>
      <c r="E38" s="213"/>
      <c r="F38" s="213"/>
      <c r="G38" s="213"/>
      <c r="H38" s="213"/>
      <c r="I38" s="203">
        <v>0.1045</v>
      </c>
      <c r="J38" s="203">
        <v>0.10100000000000001</v>
      </c>
      <c r="K38" s="203">
        <v>8.7999999999999995E-2</v>
      </c>
      <c r="L38" s="203">
        <v>8.7999999999999995E-2</v>
      </c>
      <c r="M38" s="203">
        <v>9.0999999999999998E-2</v>
      </c>
      <c r="N38" s="203">
        <v>9.0999999999999998E-2</v>
      </c>
      <c r="O38" s="203">
        <v>9.0999999999999998E-2</v>
      </c>
      <c r="P38" s="211"/>
      <c r="Q38" s="212"/>
    </row>
    <row r="39" spans="2:17" ht="36.75" customHeight="1" thickBot="1">
      <c r="B39" s="94" t="s">
        <v>100</v>
      </c>
      <c r="C39" s="101" t="s">
        <v>101</v>
      </c>
      <c r="D39" s="279">
        <f>D26</f>
        <v>45034</v>
      </c>
      <c r="E39" s="216"/>
      <c r="F39" s="216"/>
      <c r="G39" s="216"/>
      <c r="H39" s="216"/>
      <c r="I39" s="217">
        <v>4.4999999999999998E-2</v>
      </c>
      <c r="J39" s="217">
        <v>4.4999999999999998E-2</v>
      </c>
      <c r="K39" s="217">
        <v>4.2000000000000003E-2</v>
      </c>
      <c r="L39" s="217">
        <v>4.2000000000000003E-2</v>
      </c>
      <c r="M39" s="217">
        <v>4.5999999999999999E-2</v>
      </c>
      <c r="N39" s="217">
        <v>4.5999999999999999E-2</v>
      </c>
      <c r="O39" s="217">
        <v>4.5999999999999999E-2</v>
      </c>
      <c r="P39" s="218"/>
      <c r="Q39" s="219"/>
    </row>
    <row r="40" spans="2:17" ht="14.4" thickTop="1">
      <c r="B40" s="14"/>
      <c r="C40" s="14"/>
      <c r="D40" s="14"/>
    </row>
    <row r="41" spans="2:17" ht="15" thickBot="1">
      <c r="C41" s="6" t="s">
        <v>47</v>
      </c>
      <c r="E41" s="356"/>
      <c r="F41" s="356"/>
      <c r="G41" s="356"/>
      <c r="H41" s="356"/>
      <c r="I41" s="356"/>
      <c r="N41" s="49"/>
    </row>
    <row r="42" spans="2:17" ht="15.6" thickTop="1" thickBot="1">
      <c r="C42" s="6" t="s">
        <v>102</v>
      </c>
      <c r="D42" s="190"/>
      <c r="E42" s="356"/>
      <c r="F42" s="356"/>
      <c r="G42" s="356"/>
      <c r="H42" s="356"/>
      <c r="I42" s="356"/>
      <c r="J42" s="11"/>
      <c r="K42" s="11"/>
      <c r="L42" s="11"/>
      <c r="M42" s="11"/>
    </row>
    <row r="43" spans="2:17" ht="15" thickBot="1">
      <c r="B43" s="6" t="s">
        <v>339</v>
      </c>
      <c r="C43" s="6" t="s">
        <v>103</v>
      </c>
      <c r="D43" s="189"/>
      <c r="E43" s="356"/>
      <c r="F43" s="356"/>
      <c r="G43" s="356"/>
      <c r="H43" s="356"/>
      <c r="I43" s="356"/>
      <c r="J43" s="11"/>
      <c r="K43" s="11"/>
      <c r="L43" s="11"/>
      <c r="M43" s="11"/>
    </row>
    <row r="44" spans="2:17" ht="15" customHeight="1" thickBot="1">
      <c r="B44" s="6"/>
      <c r="C44" s="6" t="s">
        <v>104</v>
      </c>
      <c r="D44" s="124"/>
      <c r="E44" s="357"/>
      <c r="F44" s="357"/>
      <c r="G44" s="357"/>
      <c r="H44" s="357"/>
      <c r="I44" s="357"/>
      <c r="J44" s="357"/>
      <c r="K44" s="357"/>
      <c r="L44" s="55"/>
      <c r="M44" s="55"/>
    </row>
    <row r="45" spans="2:17" ht="15.6" thickTop="1" thickBot="1">
      <c r="E45" s="356"/>
      <c r="F45" s="356"/>
      <c r="G45" s="356"/>
      <c r="H45" s="356"/>
      <c r="I45" s="356"/>
    </row>
    <row r="46" spans="2:17" ht="15" thickTop="1" thickBot="1">
      <c r="C46" s="15" t="s">
        <v>107</v>
      </c>
      <c r="D46" s="107"/>
      <c r="E46" s="370"/>
      <c r="F46" s="370"/>
      <c r="G46" s="370"/>
      <c r="H46" s="370"/>
      <c r="I46" s="370"/>
    </row>
    <row r="47" spans="2:17" ht="14.4" thickTop="1">
      <c r="C47" s="16" t="s">
        <v>109</v>
      </c>
      <c r="D47" s="17">
        <v>4.9999999999999899E-2</v>
      </c>
    </row>
    <row r="48" spans="2:17">
      <c r="C48" s="6" t="s">
        <v>106</v>
      </c>
    </row>
    <row r="50" spans="9:17">
      <c r="I50" s="18"/>
      <c r="J50" s="18"/>
    </row>
    <row r="51" spans="9:17">
      <c r="I51" s="18"/>
      <c r="J51" s="18"/>
    </row>
    <row r="52" spans="9:17">
      <c r="I52" s="18"/>
      <c r="J52" s="18"/>
      <c r="Q52" s="50"/>
    </row>
    <row r="53" spans="9:17">
      <c r="I53" s="18"/>
      <c r="J53" s="18"/>
      <c r="Q53" s="50"/>
    </row>
    <row r="54" spans="9:17">
      <c r="I54" s="18"/>
      <c r="J54" s="18"/>
      <c r="Q54" s="50"/>
    </row>
    <row r="55" spans="9:17">
      <c r="I55" s="18"/>
      <c r="J55" s="18"/>
      <c r="Q55" s="50"/>
    </row>
    <row r="56" spans="9:17">
      <c r="I56" s="18"/>
      <c r="J56" s="18"/>
      <c r="Q56" s="50"/>
    </row>
    <row r="57" spans="9:17">
      <c r="I57" s="18"/>
      <c r="J57" s="18"/>
      <c r="Q57" s="50"/>
    </row>
    <row r="58" spans="9:17">
      <c r="I58" s="18"/>
      <c r="J58" s="18"/>
      <c r="Q58" s="50"/>
    </row>
    <row r="59" spans="9:17">
      <c r="I59" s="18"/>
      <c r="J59" s="18"/>
      <c r="Q59" s="50"/>
    </row>
    <row r="60" spans="9:17">
      <c r="I60" s="18"/>
      <c r="J60" s="18"/>
      <c r="Q60" s="50"/>
    </row>
    <row r="61" spans="9:17">
      <c r="I61" s="18"/>
      <c r="J61" s="18"/>
      <c r="N61" s="50"/>
    </row>
  </sheetData>
  <mergeCells count="40">
    <mergeCell ref="E45:I45"/>
    <mergeCell ref="E46:I46"/>
    <mergeCell ref="B3:Q3"/>
    <mergeCell ref="B13:B14"/>
    <mergeCell ref="C13:C14"/>
    <mergeCell ref="B23:B24"/>
    <mergeCell ref="C23:C24"/>
    <mergeCell ref="B25:B26"/>
    <mergeCell ref="C25:C26"/>
    <mergeCell ref="B19:B20"/>
    <mergeCell ref="C19:C20"/>
    <mergeCell ref="B21:B22"/>
    <mergeCell ref="C21:C22"/>
    <mergeCell ref="B27:B28"/>
    <mergeCell ref="E41:I41"/>
    <mergeCell ref="B4:B5"/>
    <mergeCell ref="B9:B10"/>
    <mergeCell ref="C9:C10"/>
    <mergeCell ref="D4:D5"/>
    <mergeCell ref="B7:B8"/>
    <mergeCell ref="C7:C8"/>
    <mergeCell ref="B15:B16"/>
    <mergeCell ref="C15:C16"/>
    <mergeCell ref="B17:B18"/>
    <mergeCell ref="C17:C18"/>
    <mergeCell ref="B11:B12"/>
    <mergeCell ref="C11:C12"/>
    <mergeCell ref="B35:B36"/>
    <mergeCell ref="C35:C36"/>
    <mergeCell ref="B29:B30"/>
    <mergeCell ref="C29:C30"/>
    <mergeCell ref="B33:B34"/>
    <mergeCell ref="C33:C34"/>
    <mergeCell ref="E42:I42"/>
    <mergeCell ref="E43:I43"/>
    <mergeCell ref="E44:K44"/>
    <mergeCell ref="N4:Q4"/>
    <mergeCell ref="C27:C28"/>
    <mergeCell ref="C4:C5"/>
    <mergeCell ref="E4:M4"/>
  </mergeCells>
  <phoneticPr fontId="50" type="noConversion"/>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7"/>
  </sheetPr>
  <dimension ref="A1:M42"/>
  <sheetViews>
    <sheetView showGridLines="0" showRowColHeaders="0" zoomScaleNormal="100" workbookViewId="0"/>
  </sheetViews>
  <sheetFormatPr defaultColWidth="10" defaultRowHeight="13.8"/>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11">
      <c r="B1" s="75" t="s">
        <v>19</v>
      </c>
      <c r="C1" s="3"/>
      <c r="D1" s="3"/>
      <c r="E1" s="3"/>
      <c r="F1" s="3"/>
      <c r="G1" s="3"/>
      <c r="H1" s="3"/>
    </row>
    <row r="2" spans="1:11" ht="14.4" thickBot="1">
      <c r="A2" s="8"/>
    </row>
    <row r="3" spans="1:11" ht="34.200000000000003" customHeight="1" thickTop="1" thickBot="1">
      <c r="B3" s="371" t="s">
        <v>110</v>
      </c>
      <c r="C3" s="372"/>
      <c r="D3" s="187"/>
      <c r="E3" s="187"/>
      <c r="F3" s="187"/>
      <c r="G3" s="187"/>
      <c r="H3" s="188"/>
    </row>
    <row r="4" spans="1:11" ht="21.75" customHeight="1" thickBot="1">
      <c r="B4" s="374" t="s">
        <v>54</v>
      </c>
      <c r="C4" s="339" t="s">
        <v>111</v>
      </c>
      <c r="D4" s="339" t="s">
        <v>112</v>
      </c>
      <c r="E4" s="382" t="s">
        <v>23</v>
      </c>
      <c r="F4" s="382"/>
      <c r="G4" s="376" t="s">
        <v>24</v>
      </c>
      <c r="H4" s="377"/>
    </row>
    <row r="5" spans="1:11" ht="14.4" thickBot="1">
      <c r="B5" s="381"/>
      <c r="C5" s="339"/>
      <c r="D5" s="339"/>
      <c r="E5" s="89">
        <f>metai-1</f>
        <v>2021</v>
      </c>
      <c r="F5" s="89">
        <v>2022</v>
      </c>
      <c r="G5" s="125">
        <f>E5</f>
        <v>2021</v>
      </c>
      <c r="H5" s="126">
        <f>F5</f>
        <v>2022</v>
      </c>
    </row>
    <row r="6" spans="1:11" ht="28.8" thickBot="1">
      <c r="B6" s="91" t="s">
        <v>113</v>
      </c>
      <c r="C6" s="85"/>
      <c r="D6" s="79" t="s">
        <v>114</v>
      </c>
      <c r="E6" s="86">
        <f>'2. Macro'!L8</f>
        <v>56179.075026146893</v>
      </c>
      <c r="F6" s="86">
        <f>'2. Macro'!M8</f>
        <v>66918.197192988693</v>
      </c>
      <c r="G6" s="86">
        <f>'2. Macro'!L7</f>
        <v>56179.075026146893</v>
      </c>
      <c r="H6" s="86">
        <f>'2. Macro'!M7</f>
        <v>66918.197192988693</v>
      </c>
    </row>
    <row r="7" spans="1:11" s="10" customFormat="1" ht="14.4" thickBot="1">
      <c r="B7" s="367" t="s">
        <v>115</v>
      </c>
      <c r="C7" s="378" t="s">
        <v>116</v>
      </c>
      <c r="D7" s="80" t="s">
        <v>114</v>
      </c>
      <c r="E7" s="86">
        <f>E13-E15</f>
        <v>-646.38999999999942</v>
      </c>
      <c r="F7" s="86">
        <f>F13-F15</f>
        <v>-384.51000000000204</v>
      </c>
      <c r="G7" s="86">
        <f>G13-G15</f>
        <v>-646.38999999999942</v>
      </c>
      <c r="H7" s="92">
        <f>H13-H15</f>
        <v>-384.51000000000204</v>
      </c>
      <c r="J7" s="52"/>
      <c r="K7" s="52"/>
    </row>
    <row r="8" spans="1:11" s="10" customFormat="1" ht="14.4" thickBot="1">
      <c r="B8" s="367"/>
      <c r="C8" s="378"/>
      <c r="D8" s="80" t="s">
        <v>117</v>
      </c>
      <c r="E8" s="86">
        <f>E7/$E$6*100</f>
        <v>-1.1505885415506685</v>
      </c>
      <c r="F8" s="86">
        <f>F7/$F$6*100</f>
        <v>-0.5745970694504734</v>
      </c>
      <c r="G8" s="86">
        <f>G7/G6*100</f>
        <v>-1.1505885415506685</v>
      </c>
      <c r="H8" s="92">
        <f>H7/$F$6*100</f>
        <v>-0.5745970694504734</v>
      </c>
    </row>
    <row r="9" spans="1:11" s="10" customFormat="1" ht="14.4" thickBot="1">
      <c r="B9" s="379" t="s">
        <v>118</v>
      </c>
      <c r="C9" s="378" t="s">
        <v>119</v>
      </c>
      <c r="D9" s="80" t="s">
        <v>114</v>
      </c>
      <c r="E9" s="186">
        <v>528.41191339000034</v>
      </c>
      <c r="F9" s="186">
        <v>718.56534499999998</v>
      </c>
      <c r="G9" s="86">
        <f>E9</f>
        <v>528.41191339000034</v>
      </c>
      <c r="H9" s="86">
        <f>F9</f>
        <v>718.56534499999998</v>
      </c>
    </row>
    <row r="10" spans="1:11" s="10" customFormat="1" ht="14.4" thickBot="1">
      <c r="B10" s="379"/>
      <c r="C10" s="378"/>
      <c r="D10" s="80" t="s">
        <v>117</v>
      </c>
      <c r="E10" s="86">
        <f>E9/$E$6*100</f>
        <v>0.94058492978758823</v>
      </c>
      <c r="F10" s="86">
        <f>F9/$F$6*100</f>
        <v>1.0737966280348137</v>
      </c>
      <c r="G10" s="86">
        <f>G9/$G$6*100</f>
        <v>0.94058492978758823</v>
      </c>
      <c r="H10" s="92">
        <f>H9/$H$6*100</f>
        <v>1.0737966280348137</v>
      </c>
    </row>
    <row r="11" spans="1:11" s="10" customFormat="1" ht="14.4" thickBot="1">
      <c r="B11" s="379" t="s">
        <v>120</v>
      </c>
      <c r="C11" s="378" t="s">
        <v>121</v>
      </c>
      <c r="D11" s="80" t="s">
        <v>114</v>
      </c>
      <c r="E11" s="186">
        <v>222.88524156396579</v>
      </c>
      <c r="F11" s="186">
        <v>218.29465500000197</v>
      </c>
      <c r="G11" s="86">
        <f>E11</f>
        <v>222.88524156396579</v>
      </c>
      <c r="H11" s="86">
        <f>F11</f>
        <v>218.29465500000197</v>
      </c>
    </row>
    <row r="12" spans="1:11" s="10" customFormat="1" ht="14.4" thickBot="1">
      <c r="B12" s="379"/>
      <c r="C12" s="378"/>
      <c r="D12" s="80" t="s">
        <v>117</v>
      </c>
      <c r="E12" s="86">
        <f>E11/E6*100</f>
        <v>0.39674067517172618</v>
      </c>
      <c r="F12" s="86">
        <f>F11/F6*100</f>
        <v>0.32621120137240284</v>
      </c>
      <c r="G12" s="86">
        <f>G11/G6*100</f>
        <v>0.39674067517172618</v>
      </c>
      <c r="H12" s="92">
        <f>H11/H6*100</f>
        <v>0.32621120137240284</v>
      </c>
    </row>
    <row r="13" spans="1:11" s="10" customFormat="1" ht="14.4" thickBot="1">
      <c r="B13" s="367" t="s">
        <v>122</v>
      </c>
      <c r="C13" s="361" t="s">
        <v>123</v>
      </c>
      <c r="D13" s="80" t="s">
        <v>114</v>
      </c>
      <c r="E13" s="186">
        <v>20418.561000000002</v>
      </c>
      <c r="F13" s="186">
        <v>23943.350999999999</v>
      </c>
      <c r="G13" s="86">
        <v>20418.561000000002</v>
      </c>
      <c r="H13" s="86">
        <v>23943.350999999999</v>
      </c>
    </row>
    <row r="14" spans="1:11" s="10" customFormat="1" ht="14.4" thickBot="1">
      <c r="B14" s="368"/>
      <c r="C14" s="361"/>
      <c r="D14" s="80" t="s">
        <v>117</v>
      </c>
      <c r="E14" s="86">
        <f>E13/E6*100</f>
        <v>36.345491609637193</v>
      </c>
      <c r="F14" s="86">
        <f>F13/F6*100</f>
        <v>35.780029953509633</v>
      </c>
      <c r="G14" s="86">
        <f t="shared" ref="G14:H14" si="0">G13/G6*100</f>
        <v>36.345491609637193</v>
      </c>
      <c r="H14" s="86">
        <f t="shared" si="0"/>
        <v>35.780029953509633</v>
      </c>
    </row>
    <row r="15" spans="1:11" s="10" customFormat="1" ht="14.4" thickBot="1">
      <c r="B15" s="367" t="s">
        <v>124</v>
      </c>
      <c r="C15" s="361" t="s">
        <v>125</v>
      </c>
      <c r="D15" s="80" t="s">
        <v>114</v>
      </c>
      <c r="E15" s="186">
        <v>21064.951000000001</v>
      </c>
      <c r="F15" s="186">
        <v>24327.861000000001</v>
      </c>
      <c r="G15" s="86">
        <v>21064.951000000001</v>
      </c>
      <c r="H15" s="86">
        <v>24327.861000000001</v>
      </c>
      <c r="I15" s="52"/>
    </row>
    <row r="16" spans="1:11" s="10" customFormat="1" ht="14.4" thickBot="1">
      <c r="B16" s="368"/>
      <c r="C16" s="361"/>
      <c r="D16" s="80" t="s">
        <v>117</v>
      </c>
      <c r="E16" s="86">
        <f>E15/E6*100</f>
        <v>37.496080151187861</v>
      </c>
      <c r="F16" s="86">
        <f t="shared" ref="F16" si="1">F15/F6*100</f>
        <v>36.354627022960109</v>
      </c>
      <c r="G16" s="86">
        <f>G15/G6*100</f>
        <v>37.496080151187861</v>
      </c>
      <c r="H16" s="86">
        <f>H15/H6*100</f>
        <v>36.354627022960109</v>
      </c>
    </row>
    <row r="17" spans="2:11" s="10" customFormat="1" ht="14.4" thickBot="1">
      <c r="B17" s="379" t="s">
        <v>126</v>
      </c>
      <c r="C17" s="361" t="s">
        <v>127</v>
      </c>
      <c r="D17" s="80" t="s">
        <v>114</v>
      </c>
      <c r="E17" s="86">
        <v>11612.634063830001</v>
      </c>
      <c r="F17" s="87">
        <v>13763.078783299999</v>
      </c>
      <c r="G17" s="86">
        <f>E17</f>
        <v>11612.634063830001</v>
      </c>
      <c r="H17" s="92">
        <f>F17</f>
        <v>13763.078783299999</v>
      </c>
    </row>
    <row r="18" spans="2:11" s="10" customFormat="1" ht="14.4" thickBot="1">
      <c r="B18" s="379"/>
      <c r="C18" s="361"/>
      <c r="D18" s="80" t="s">
        <v>117</v>
      </c>
      <c r="E18" s="86">
        <f>E17/$E$6*100</f>
        <v>20.670746284849372</v>
      </c>
      <c r="F18" s="86">
        <f>F17/F6*100</f>
        <v>20.567019675691466</v>
      </c>
      <c r="G18" s="86">
        <f>G17/G6*100</f>
        <v>20.670746284849372</v>
      </c>
      <c r="H18" s="92">
        <f>H17/H6*100</f>
        <v>20.567019675691466</v>
      </c>
    </row>
    <row r="19" spans="2:11" s="10" customFormat="1" ht="14.4" thickBot="1">
      <c r="B19" s="379" t="s">
        <v>128</v>
      </c>
      <c r="C19" s="361" t="s">
        <v>129</v>
      </c>
      <c r="D19" s="80" t="s">
        <v>114</v>
      </c>
      <c r="E19" s="86">
        <v>7437.2516822100006</v>
      </c>
      <c r="F19" s="87">
        <v>8387.7156010100007</v>
      </c>
      <c r="G19" s="86">
        <f>E19</f>
        <v>7437.2516822100006</v>
      </c>
      <c r="H19" s="92">
        <f>F19</f>
        <v>8387.7156010100007</v>
      </c>
    </row>
    <row r="20" spans="2:11" s="10" customFormat="1" ht="14.4" thickBot="1">
      <c r="B20" s="380"/>
      <c r="C20" s="361"/>
      <c r="D20" s="80" t="s">
        <v>117</v>
      </c>
      <c r="E20" s="86">
        <f t="shared" ref="E20" si="2">E19/E6*100</f>
        <v>13.238473005738438</v>
      </c>
      <c r="F20" s="86">
        <f>F19/F6*100</f>
        <v>12.534282082974013</v>
      </c>
      <c r="G20" s="86">
        <f>G19/G6*100</f>
        <v>13.238473005738438</v>
      </c>
      <c r="H20" s="92">
        <f>H19/H6*100</f>
        <v>12.534282082974013</v>
      </c>
      <c r="J20" s="1"/>
      <c r="K20" s="1"/>
    </row>
    <row r="21" spans="2:11" s="10" customFormat="1" ht="14.4" thickBot="1">
      <c r="B21" s="367" t="s">
        <v>130</v>
      </c>
      <c r="C21" s="378" t="s">
        <v>131</v>
      </c>
      <c r="D21" s="80" t="s">
        <v>114</v>
      </c>
      <c r="E21" s="86">
        <f>E19+E17</f>
        <v>19049.885746040003</v>
      </c>
      <c r="F21" s="86">
        <f>F19+F17</f>
        <v>22150.79438431</v>
      </c>
      <c r="G21" s="86">
        <f>G19+G17</f>
        <v>19049.885746040003</v>
      </c>
      <c r="H21" s="92">
        <f>H17+H19</f>
        <v>22150.79438431</v>
      </c>
      <c r="J21" s="1"/>
      <c r="K21" s="1"/>
    </row>
    <row r="22" spans="2:11" s="10" customFormat="1" ht="16.5" customHeight="1" thickBot="1">
      <c r="B22" s="367"/>
      <c r="C22" s="378"/>
      <c r="D22" s="80" t="s">
        <v>117</v>
      </c>
      <c r="E22" s="86">
        <f>E21/E6*100</f>
        <v>33.909219290587814</v>
      </c>
      <c r="F22" s="86">
        <f>F21/F6*100</f>
        <v>33.101301758665478</v>
      </c>
      <c r="G22" s="86">
        <f>G21/$G$6*100</f>
        <v>33.909219290587814</v>
      </c>
      <c r="H22" s="92">
        <f>H21/$H$6*100</f>
        <v>33.101301758665478</v>
      </c>
      <c r="J22" s="1"/>
      <c r="K22" s="1"/>
    </row>
    <row r="23" spans="2:11" s="10" customFormat="1" ht="14.4" thickBot="1">
      <c r="B23" s="367" t="s">
        <v>132</v>
      </c>
      <c r="C23" s="361" t="s">
        <v>133</v>
      </c>
      <c r="D23" s="80" t="s">
        <v>114</v>
      </c>
      <c r="E23" s="184">
        <v>-9.6</v>
      </c>
      <c r="F23" s="184">
        <v>114.1</v>
      </c>
      <c r="G23" s="86">
        <f>E23</f>
        <v>-9.6</v>
      </c>
      <c r="H23" s="86">
        <f>F23</f>
        <v>114.1</v>
      </c>
      <c r="J23" s="1"/>
      <c r="K23" s="1"/>
    </row>
    <row r="24" spans="2:11" ht="14.4" thickBot="1">
      <c r="B24" s="368"/>
      <c r="C24" s="361"/>
      <c r="D24" s="80" t="s">
        <v>117</v>
      </c>
      <c r="E24" s="86">
        <f>E23/E6*100</f>
        <v>-1.7088212996621895E-2</v>
      </c>
      <c r="F24" s="86">
        <f>F23/F6*100</f>
        <v>0.17050668545499123</v>
      </c>
      <c r="G24" s="86">
        <f>G23/G6*100</f>
        <v>-1.7088212996621895E-2</v>
      </c>
      <c r="H24" s="92">
        <f>H23/H6*100</f>
        <v>0.17050668545499123</v>
      </c>
    </row>
    <row r="25" spans="2:11" ht="14.4" thickBot="1">
      <c r="B25" s="367" t="s">
        <v>134</v>
      </c>
      <c r="C25" s="361" t="s">
        <v>135</v>
      </c>
      <c r="D25" s="80" t="s">
        <v>114</v>
      </c>
      <c r="E25" s="184">
        <v>0</v>
      </c>
      <c r="F25" s="184">
        <v>0</v>
      </c>
      <c r="G25" s="184">
        <v>0</v>
      </c>
      <c r="H25" s="185">
        <v>0</v>
      </c>
    </row>
    <row r="26" spans="2:11" ht="14.4" thickBot="1">
      <c r="B26" s="368"/>
      <c r="C26" s="361"/>
      <c r="D26" s="80" t="s">
        <v>117</v>
      </c>
      <c r="E26" s="86">
        <f>E25/$E$6*100</f>
        <v>0</v>
      </c>
      <c r="F26" s="86">
        <f>F25/$F$6*100</f>
        <v>0</v>
      </c>
      <c r="G26" s="86">
        <f>G25/$G$6*100</f>
        <v>0</v>
      </c>
      <c r="H26" s="92">
        <f>H25/$H$6*100</f>
        <v>0</v>
      </c>
    </row>
    <row r="27" spans="2:11" ht="14.4" thickBot="1">
      <c r="B27" s="367" t="s">
        <v>136</v>
      </c>
      <c r="C27" s="361" t="s">
        <v>137</v>
      </c>
      <c r="D27" s="80" t="s">
        <v>114</v>
      </c>
      <c r="E27" s="184">
        <v>0</v>
      </c>
      <c r="F27" s="184">
        <v>0</v>
      </c>
      <c r="G27" s="184">
        <v>0</v>
      </c>
      <c r="H27" s="185">
        <v>0</v>
      </c>
    </row>
    <row r="28" spans="2:11" ht="14.4" thickBot="1">
      <c r="B28" s="368"/>
      <c r="C28" s="361"/>
      <c r="D28" s="80" t="s">
        <v>117</v>
      </c>
      <c r="E28" s="86">
        <f>E27/$E$6*100</f>
        <v>0</v>
      </c>
      <c r="F28" s="86">
        <f>F27/$F$6*100</f>
        <v>0</v>
      </c>
      <c r="G28" s="86">
        <f>G27/$G$6*100</f>
        <v>0</v>
      </c>
      <c r="H28" s="92">
        <f>H27/$H$6*100</f>
        <v>0</v>
      </c>
    </row>
    <row r="29" spans="2:11" ht="28.8" thickBot="1">
      <c r="B29" s="93" t="s">
        <v>138</v>
      </c>
      <c r="C29" s="80" t="s">
        <v>139</v>
      </c>
      <c r="D29" s="80" t="s">
        <v>117</v>
      </c>
      <c r="E29" s="220">
        <v>0</v>
      </c>
      <c r="F29" s="220">
        <v>0</v>
      </c>
      <c r="G29" s="220">
        <f>E29</f>
        <v>0</v>
      </c>
      <c r="H29" s="221">
        <f>F29</f>
        <v>0</v>
      </c>
    </row>
    <row r="30" spans="2:11" ht="33" customHeight="1" thickBot="1">
      <c r="B30" s="93" t="s">
        <v>140</v>
      </c>
      <c r="C30" s="80" t="s">
        <v>141</v>
      </c>
      <c r="D30" s="80" t="s">
        <v>117</v>
      </c>
      <c r="E30" s="184">
        <f>E8-'2. Macro'!L22-E24+E29</f>
        <v>-1.6423641408818845</v>
      </c>
      <c r="F30" s="184">
        <f>F8-'2. Macro'!M22-F24+F29</f>
        <v>-0.57841389924546183</v>
      </c>
      <c r="G30" s="127">
        <f>G8-'2. Macro'!L21-G24+G29</f>
        <v>-2.2374472920629529</v>
      </c>
      <c r="H30" s="128">
        <f>H8-'2. Macro'!M21-H24+H29</f>
        <v>-1.2622541272612704</v>
      </c>
    </row>
    <row r="31" spans="2:11" ht="28.8" thickBot="1">
      <c r="B31" s="93" t="s">
        <v>142</v>
      </c>
      <c r="C31" s="80" t="s">
        <v>143</v>
      </c>
      <c r="D31" s="80" t="s">
        <v>117</v>
      </c>
      <c r="E31" s="209">
        <f>E10-'2. Macro'!L24-E26</f>
        <v>0.82835431453733832</v>
      </c>
      <c r="F31" s="209">
        <f>F10-'2. Macro'!M24-F26</f>
        <v>1.1118136126590248</v>
      </c>
      <c r="G31" s="209">
        <f>G10-'2. Macro'!L23-G26</f>
        <v>0.69710790525429567</v>
      </c>
      <c r="H31" s="210">
        <f>H10-'2. Macro'!M23-H26</f>
        <v>0.95585005188348959</v>
      </c>
    </row>
    <row r="32" spans="2:11" ht="28.8" thickBot="1">
      <c r="B32" s="93" t="s">
        <v>144</v>
      </c>
      <c r="C32" s="80" t="s">
        <v>145</v>
      </c>
      <c r="D32" s="80" t="s">
        <v>117</v>
      </c>
      <c r="E32" s="209">
        <f>E12-'2. Macro'!L26-E28</f>
        <v>0.34317606334774325</v>
      </c>
      <c r="F32" s="209">
        <f>F12-'2. Macro'!M26-F28</f>
        <v>0.34542857821541068</v>
      </c>
      <c r="G32" s="220">
        <f>G12-'2. Macro'!L25-G28</f>
        <v>0.28053573164447287</v>
      </c>
      <c r="H32" s="221">
        <f>H12-'2. Macro'!M25-H28</f>
        <v>0.26658985518601924</v>
      </c>
    </row>
    <row r="33" spans="2:13" ht="28.8" thickBot="1">
      <c r="B33" s="93" t="s">
        <v>146</v>
      </c>
      <c r="C33" s="88" t="s">
        <v>147</v>
      </c>
      <c r="D33" s="80" t="s">
        <v>117</v>
      </c>
      <c r="E33" s="233">
        <v>-1</v>
      </c>
      <c r="F33" s="233">
        <v>-1</v>
      </c>
      <c r="G33" s="233">
        <v>-1</v>
      </c>
      <c r="H33" s="234">
        <v>-1</v>
      </c>
    </row>
    <row r="34" spans="2:13" ht="28.8" thickBot="1">
      <c r="B34" s="94" t="s">
        <v>148</v>
      </c>
      <c r="C34" s="95" t="s">
        <v>149</v>
      </c>
      <c r="D34" s="96" t="s">
        <v>117</v>
      </c>
      <c r="E34" s="95">
        <v>0</v>
      </c>
      <c r="F34" s="95">
        <v>0</v>
      </c>
      <c r="G34" s="95">
        <v>0</v>
      </c>
      <c r="H34" s="97">
        <v>0</v>
      </c>
      <c r="J34" s="55"/>
      <c r="K34" s="55"/>
    </row>
    <row r="35" spans="2:13" ht="14.4" thickTop="1">
      <c r="C35" s="19"/>
      <c r="D35" s="19"/>
      <c r="E35" s="19"/>
      <c r="F35" s="19"/>
      <c r="G35" s="19"/>
      <c r="H35" s="19"/>
    </row>
    <row r="36" spans="2:13" ht="15" thickBot="1">
      <c r="C36" s="6" t="s">
        <v>47</v>
      </c>
      <c r="D36" s="6"/>
      <c r="E36" s="43" t="s">
        <v>48</v>
      </c>
    </row>
    <row r="37" spans="2:13" ht="15.6" thickTop="1" thickBot="1">
      <c r="B37" s="20"/>
      <c r="C37" s="21" t="s">
        <v>150</v>
      </c>
      <c r="D37" s="108"/>
      <c r="E37" s="76" t="s">
        <v>151</v>
      </c>
      <c r="F37" s="11"/>
      <c r="G37" s="11"/>
    </row>
    <row r="38" spans="2:13" ht="15" customHeight="1" thickBot="1">
      <c r="B38" s="22"/>
      <c r="C38" s="6" t="s">
        <v>104</v>
      </c>
      <c r="D38" s="124"/>
      <c r="E38" s="44" t="s">
        <v>105</v>
      </c>
      <c r="F38" s="55"/>
      <c r="G38" s="55"/>
      <c r="H38" s="55"/>
      <c r="I38" s="55"/>
      <c r="L38" s="55"/>
      <c r="M38" s="55"/>
    </row>
    <row r="39" spans="2:13" ht="15.6" thickTop="1" thickBot="1">
      <c r="C39" s="6"/>
      <c r="E39" s="38"/>
    </row>
    <row r="40" spans="2:13" ht="15" thickTop="1" thickBot="1">
      <c r="C40" s="15" t="s">
        <v>107</v>
      </c>
      <c r="D40" s="107"/>
      <c r="E40" s="77" t="s">
        <v>108</v>
      </c>
      <c r="F40" s="35"/>
      <c r="G40" s="35"/>
    </row>
    <row r="41" spans="2:13" ht="14.4" customHeight="1" thickTop="1">
      <c r="C41" s="375"/>
      <c r="D41" s="375"/>
      <c r="E41" s="11"/>
      <c r="F41" s="11"/>
      <c r="G41" s="11"/>
      <c r="H41" s="11"/>
    </row>
    <row r="42" spans="2:13">
      <c r="C42" s="375"/>
      <c r="D42" s="375"/>
      <c r="E42" s="11"/>
      <c r="F42" s="11"/>
      <c r="G42" s="11"/>
      <c r="H42" s="11"/>
    </row>
  </sheetData>
  <mergeCells count="30">
    <mergeCell ref="B27:B28"/>
    <mergeCell ref="B15:B16"/>
    <mergeCell ref="C15:C16"/>
    <mergeCell ref="B23:B24"/>
    <mergeCell ref="C23:C24"/>
    <mergeCell ref="B25:B26"/>
    <mergeCell ref="C25:C26"/>
    <mergeCell ref="B21:B22"/>
    <mergeCell ref="C21:C22"/>
    <mergeCell ref="B3:C3"/>
    <mergeCell ref="B4:B5"/>
    <mergeCell ref="C4:C5"/>
    <mergeCell ref="D4:D5"/>
    <mergeCell ref="E4:F4"/>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theme="7"/>
  </sheetPr>
  <dimension ref="A1:L45"/>
  <sheetViews>
    <sheetView showGridLines="0" showRowColHeaders="0" zoomScaleNormal="100" workbookViewId="0"/>
  </sheetViews>
  <sheetFormatPr defaultColWidth="10" defaultRowHeight="13.8"/>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c r="A1" s="235"/>
      <c r="B1" s="410" t="s">
        <v>19</v>
      </c>
      <c r="C1" s="410"/>
      <c r="D1" s="235"/>
      <c r="E1" s="19"/>
      <c r="F1" s="19"/>
    </row>
    <row r="2" spans="1:12" ht="14.4" thickBot="1">
      <c r="A2" s="236" t="s">
        <v>20</v>
      </c>
      <c r="B2" s="19"/>
      <c r="C2" s="19"/>
      <c r="D2" s="19"/>
      <c r="E2" s="19"/>
      <c r="F2" s="19"/>
    </row>
    <row r="3" spans="1:12" ht="34.5" customHeight="1" thickTop="1" thickBot="1">
      <c r="A3" s="228"/>
      <c r="B3" s="411" t="s">
        <v>277</v>
      </c>
      <c r="C3" s="412"/>
      <c r="D3" s="412"/>
      <c r="E3" s="412"/>
      <c r="F3" s="413"/>
    </row>
    <row r="4" spans="1:12" ht="41.25" customHeight="1" thickBot="1">
      <c r="A4" s="19"/>
      <c r="B4" s="179" t="s">
        <v>152</v>
      </c>
      <c r="C4" s="109" t="s">
        <v>153</v>
      </c>
      <c r="D4" s="109" t="s">
        <v>154</v>
      </c>
      <c r="E4" s="414" t="s">
        <v>155</v>
      </c>
      <c r="F4" s="415"/>
      <c r="J4" s="41"/>
      <c r="K4" s="41"/>
      <c r="L4" s="41"/>
    </row>
    <row r="5" spans="1:12" ht="33" customHeight="1" thickBot="1">
      <c r="A5" s="19"/>
      <c r="B5" s="416" t="s">
        <v>156</v>
      </c>
      <c r="C5" s="417"/>
      <c r="D5" s="417"/>
      <c r="E5" s="178" t="s">
        <v>23</v>
      </c>
      <c r="F5" s="129" t="s">
        <v>24</v>
      </c>
      <c r="J5" s="41"/>
      <c r="K5" s="41"/>
      <c r="L5" s="41"/>
    </row>
    <row r="6" spans="1:12" ht="14.25" customHeight="1">
      <c r="A6" s="19"/>
      <c r="B6" s="418"/>
      <c r="C6" s="231" t="s">
        <v>157</v>
      </c>
      <c r="D6" s="404"/>
      <c r="E6" s="388" t="str">
        <f>"Taip"</f>
        <v>Taip</v>
      </c>
      <c r="F6" s="389"/>
    </row>
    <row r="7" spans="1:12" ht="14.25" customHeight="1" thickBot="1">
      <c r="A7" s="19"/>
      <c r="B7" s="419"/>
      <c r="C7" s="232" t="s">
        <v>29</v>
      </c>
      <c r="D7" s="405"/>
      <c r="E7" s="402" t="str">
        <f>"Yes"</f>
        <v>Yes</v>
      </c>
      <c r="F7" s="403"/>
    </row>
    <row r="8" spans="1:12" ht="18" customHeight="1">
      <c r="A8" s="19"/>
      <c r="B8" s="407" t="s">
        <v>301</v>
      </c>
      <c r="C8" s="397" t="s">
        <v>158</v>
      </c>
      <c r="D8" s="399" t="s">
        <v>159</v>
      </c>
      <c r="E8" s="113" t="str">
        <f>IF(E28&gt;eps,"Tiesa","Netiesa")</f>
        <v>Netiesa</v>
      </c>
      <c r="F8" s="130" t="str">
        <f>IF(F28&gt;eps,"Tiesa","Netiesa")</f>
        <v>Netiesa</v>
      </c>
    </row>
    <row r="9" spans="1:12" ht="15.75" customHeight="1">
      <c r="A9" s="19"/>
      <c r="B9" s="408"/>
      <c r="C9" s="398"/>
      <c r="D9" s="400"/>
      <c r="E9" s="164" t="str">
        <f>CONCATENATE(FIXED(E28,1),IF(E28="Tiesa"," ≥ "," &lt; "),FIXED(0,1))</f>
        <v>-0,6 &lt; 0,0</v>
      </c>
      <c r="F9" s="222" t="str">
        <f>CONCATENATE(FIXED(F28,1),IF(F28="Tiesa"," ≥ "," &lt; "),FIXED(0,1))</f>
        <v>-1,3 &lt; 0,0</v>
      </c>
      <c r="H9" s="24"/>
    </row>
    <row r="10" spans="1:12" ht="15" thickBot="1">
      <c r="A10" s="19"/>
      <c r="B10" s="409"/>
      <c r="C10" s="223" t="s">
        <v>160</v>
      </c>
      <c r="D10" s="401"/>
      <c r="E10" s="172" t="str">
        <f>IF(E8="Tiesa","True","False")</f>
        <v>False</v>
      </c>
      <c r="F10" s="131" t="str">
        <f>IF(F8="Tiesa","True","False")</f>
        <v>False</v>
      </c>
      <c r="H10" s="24"/>
    </row>
    <row r="11" spans="1:12" ht="36" customHeight="1">
      <c r="A11" s="19"/>
      <c r="B11" s="407" t="s">
        <v>302</v>
      </c>
      <c r="C11" s="397" t="s">
        <v>161</v>
      </c>
      <c r="D11" s="399" t="s">
        <v>162</v>
      </c>
      <c r="E11" s="113" t="str">
        <f>IF((ABS(E28)+eps&lt;ABS($E$30))*(ABS(E28)&lt;ABS(E29))*(E31&gt;=-eps),"Tiesa","Netiesa")</f>
        <v>Netiesa</v>
      </c>
      <c r="F11" s="130" t="str">
        <f>IF((ABS(F28)+eps&lt;ABS($E$30))*(ABS(F28)&lt;ABS(F29))*(F31&gt;=-eps),"Tiesa","Netiesa")</f>
        <v>Netiesa</v>
      </c>
      <c r="I11" s="12"/>
    </row>
    <row r="12" spans="1:12" ht="43.5" customHeight="1">
      <c r="A12" s="19"/>
      <c r="B12" s="408"/>
      <c r="C12" s="398"/>
      <c r="D12" s="400"/>
      <c r="E12" s="115" t="str">
        <f>CONCATENATE(FIXED(ABS(E28),1),IF(ABS(E28)+eps&lt;ABS($E$30)," &lt; "," ≥ "),FIXED(ABS($E$30),1)," &amp;
",FIXED(ABS(E28),1),IF(ABS(E28)&lt;ABS(E29)," &lt; "," ≥ "),FIXED(ABS(E29),1)," &amp;
",FIXED(E31,1),IF(E31&lt;-eps," &lt; "," ≥ "),FIXED(0,1))</f>
        <v>0,6 &lt; 1,0 &amp;
0,6 &lt; 1,6 &amp;
-0,4 &lt; 0,0</v>
      </c>
      <c r="F12" s="224" t="str">
        <f>CONCATENATE(FIXED(ABS(F28),1),IF(ABS(F28)+eps&lt;ABS($E$30)," &lt; "," ≥ "),FIXED(ABS($E$30),1)," &amp;
",FIXED(ABS(F28),1),IF(ABS(F28)&lt;ABS(F29)," &lt; "," ≥ "),FIXED(ABS(F29),1)," &amp;
",FIXED(F31,1),IF(F31&lt;-eps," &lt; "," ≥ "),FIXED(0,1))</f>
        <v>1,3 ≥ 1,0 &amp;
1,3 &lt; 2,2 &amp;
1,3 ≥ 0,0</v>
      </c>
      <c r="G12" s="25"/>
      <c r="H12" s="26"/>
      <c r="I12" s="12"/>
      <c r="J12" s="12"/>
    </row>
    <row r="13" spans="1:12" ht="45" customHeight="1" thickBot="1">
      <c r="A13" s="19"/>
      <c r="B13" s="409"/>
      <c r="C13" s="223" t="s">
        <v>163</v>
      </c>
      <c r="D13" s="401"/>
      <c r="E13" s="114" t="str">
        <f>IF(E11="Tiesa","True","False")</f>
        <v>False</v>
      </c>
      <c r="F13" s="132" t="str">
        <f>IF(F11="Tiesa","True","False")</f>
        <v>False</v>
      </c>
      <c r="G13" s="25"/>
      <c r="H13" s="26"/>
      <c r="I13" s="12"/>
      <c r="J13" s="12"/>
    </row>
    <row r="14" spans="1:12" ht="33.75" customHeight="1">
      <c r="A14" s="19"/>
      <c r="B14" s="407" t="s">
        <v>303</v>
      </c>
      <c r="C14" s="397" t="s">
        <v>164</v>
      </c>
      <c r="D14" s="399" t="s">
        <v>165</v>
      </c>
      <c r="E14" s="113" t="str">
        <f>IF((ABS(E28)+eps&lt;ABS($E$30))*(E31&lt;-eps),"Tiesa","Netiesa")</f>
        <v>Tiesa</v>
      </c>
      <c r="F14" s="130" t="str">
        <f>IF((ABS(F28)+eps&lt;ABS($E$30))*(F31&lt;-eps),"Tiesa","Netiesa")</f>
        <v>Netiesa</v>
      </c>
      <c r="I14" s="12"/>
      <c r="J14" s="12"/>
    </row>
    <row r="15" spans="1:12" ht="33" customHeight="1">
      <c r="A15" s="19"/>
      <c r="B15" s="408"/>
      <c r="C15" s="398"/>
      <c r="D15" s="400"/>
      <c r="E15" s="115" t="str">
        <f>CONCATENATE(FIXED(ABS(E28),1),IF(ABS(E28)+eps&lt;ABS($E$30)," &lt; "," ≥ "),FIXED(ABS($E$30),1)," &amp;
",FIXED(E31,1),IF(E31&lt;-eps," &lt; "," ≥ "),FIXED(0,1))</f>
        <v>0,6 &lt; 1,0 &amp;
-0,4 &lt; 0,0</v>
      </c>
      <c r="F15" s="224" t="str">
        <f>CONCATENATE(FIXED(ABS(F28),1),IF(ABS(F28)+eps&lt;ABS($E$30)," &lt; "," ≥ "),FIXED(ABS($E$30),1)," &amp;
",FIXED(F31,1),IF(F31&lt;-eps," &lt; "," ≥ "),FIXED(0,1))</f>
        <v>1,3 ≥ 1,0 &amp;
1,3 ≥ 0,0</v>
      </c>
    </row>
    <row r="16" spans="1:12" ht="44.25" customHeight="1" thickBot="1">
      <c r="A16" s="19"/>
      <c r="B16" s="409"/>
      <c r="C16" s="223" t="s">
        <v>166</v>
      </c>
      <c r="D16" s="401"/>
      <c r="E16" s="114" t="str">
        <f>IF(E14="Tiesa","True","False")</f>
        <v>True</v>
      </c>
      <c r="F16" s="133" t="str">
        <f>IF(F14="Tiesa","True","False")</f>
        <v>False</v>
      </c>
    </row>
    <row r="17" spans="1:6" ht="34.5" customHeight="1">
      <c r="A17" s="19"/>
      <c r="B17" s="407" t="s">
        <v>304</v>
      </c>
      <c r="C17" s="421" t="s">
        <v>167</v>
      </c>
      <c r="D17" s="394" t="s">
        <v>168</v>
      </c>
      <c r="E17" s="113" t="str">
        <f>IF(($E$32&gt;0),IF((E28&gt;=E29+$E$32),"Tiesa","Netiesa"),"Netaikoma")</f>
        <v>Netaikoma</v>
      </c>
      <c r="F17" s="134" t="str">
        <f>IF(($E$32&gt;0),IF((E28&gt;=E29+$E$32),"Tiesa","Netiesa"),"Netaikoma")</f>
        <v>Netaikoma</v>
      </c>
    </row>
    <row r="18" spans="1:6" ht="15.75" customHeight="1">
      <c r="A18" s="19"/>
      <c r="B18" s="408"/>
      <c r="C18" s="422"/>
      <c r="D18" s="395"/>
      <c r="E18" s="115" t="str">
        <f>IF($E$32=0,"",CONCATENATE(FIXED(E28,1),IF(E28&gt;=E29+$E$32," ≥ "," &lt; "),FIXED(E29,1)," + ",FIXED($E$32,1)," = ",FIXED(E29+$E$32,1)))</f>
        <v/>
      </c>
      <c r="F18" s="224" t="str">
        <f>IF($E$32=0,"",CONCATENATE(FIXED(F28,1),IF(F28&gt;=F29+$E$32," ≥ "," &lt; "),FIXED(F29,1)," + ",FIXED($E$32,1)," = ",FIXED(F29+$E$32,1)))</f>
        <v/>
      </c>
    </row>
    <row r="19" spans="1:6" ht="47.25" customHeight="1" thickBot="1">
      <c r="A19" s="19"/>
      <c r="B19" s="409"/>
      <c r="C19" s="225" t="s">
        <v>169</v>
      </c>
      <c r="D19" s="423"/>
      <c r="E19" s="114" t="str">
        <f>IF(E17="Tiesa","True",IF(E17="Netaikoma","Not applicable","False"))</f>
        <v>Not applicable</v>
      </c>
      <c r="F19" s="133" t="str">
        <f>IF(F17="Tiesa","True",IF(F17="Netaikoma","Not applicable","False"))</f>
        <v>Not applicable</v>
      </c>
    </row>
    <row r="20" spans="1:6">
      <c r="A20" s="19"/>
      <c r="B20" s="407" t="s">
        <v>170</v>
      </c>
      <c r="C20" s="392" t="s">
        <v>280</v>
      </c>
      <c r="D20" s="394"/>
      <c r="E20" s="175" t="str">
        <f>IF(E6="Taip","Netaikoma", IF(OR(E8="Tiesa",E11="Tiesa",E14="Tiesa",E17="Tiesa"),"Taip","Ne"))</f>
        <v>Netaikoma</v>
      </c>
      <c r="F20" s="135" t="str">
        <f>IF(E6="Taip","Netaikoma", IF(OR(F8="Tiesa",F11="Tiesa",F14="Tiesa",F17="Tiesa"),"Taip","Ne"))</f>
        <v>Netaikoma</v>
      </c>
    </row>
    <row r="21" spans="1:6" ht="43.95" customHeight="1">
      <c r="A21" s="19"/>
      <c r="B21" s="408"/>
      <c r="C21" s="393"/>
      <c r="D21" s="395"/>
      <c r="E21" s="176"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36"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1:6" ht="21" customHeight="1">
      <c r="A22" s="19"/>
      <c r="B22" s="408"/>
      <c r="C22" s="424" t="s">
        <v>171</v>
      </c>
      <c r="D22" s="395"/>
      <c r="E22" s="182" t="str">
        <f>IF(E20="Taip","Yes",IF(E20="Netaikoma","Not applicable","False"))</f>
        <v>Not applicable</v>
      </c>
      <c r="F22" s="137" t="str">
        <f>IF(F20="Taip","Yes",IF(F20="Netaikoma","Not applicable","False"))</f>
        <v>Not applicable</v>
      </c>
    </row>
    <row r="23" spans="1:6" ht="28.5" customHeight="1" thickBot="1">
      <c r="A23" s="19"/>
      <c r="B23" s="420"/>
      <c r="C23" s="425"/>
      <c r="D23" s="396"/>
      <c r="E23" s="183"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38"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1:6" ht="15.75" customHeight="1" thickTop="1">
      <c r="A24" s="19"/>
      <c r="B24" s="19"/>
      <c r="C24" s="383" t="s">
        <v>172</v>
      </c>
      <c r="D24" s="383"/>
      <c r="E24" s="383"/>
      <c r="F24" s="383"/>
    </row>
    <row r="25" spans="1:6" ht="15.75" customHeight="1">
      <c r="A25" s="19"/>
      <c r="B25" s="19"/>
      <c r="C25" s="406" t="s">
        <v>173</v>
      </c>
      <c r="D25" s="406"/>
      <c r="E25" s="406"/>
      <c r="F25" s="406"/>
    </row>
    <row r="26" spans="1:6" ht="14.4" thickBot="1">
      <c r="A26" s="19"/>
      <c r="B26" s="19"/>
      <c r="C26" s="226" t="s">
        <v>174</v>
      </c>
      <c r="D26" s="227"/>
      <c r="E26" s="228"/>
      <c r="F26" s="228"/>
    </row>
    <row r="27" spans="1:6" ht="14.4" thickBot="1">
      <c r="A27" s="19"/>
      <c r="B27" s="19"/>
      <c r="C27" s="229" t="s">
        <v>175</v>
      </c>
      <c r="D27" s="230" t="s">
        <v>176</v>
      </c>
      <c r="E27" s="384">
        <f>metai</f>
        <v>2022</v>
      </c>
      <c r="F27" s="385"/>
    </row>
    <row r="28" spans="1:6" ht="14.4" thickBot="1">
      <c r="A28" s="19"/>
      <c r="B28" s="19"/>
      <c r="C28" s="19"/>
      <c r="D28" s="230" t="s">
        <v>177</v>
      </c>
      <c r="E28" s="272">
        <f>'3. GGbudget'!F30</f>
        <v>-0.57841389924546183</v>
      </c>
      <c r="F28" s="273">
        <f>'3. GGbudget'!H30</f>
        <v>-1.2622541272612704</v>
      </c>
    </row>
    <row r="29" spans="1:6" ht="14.4" thickBot="1">
      <c r="A29" s="19"/>
      <c r="B29" s="19"/>
      <c r="C29" s="19"/>
      <c r="D29" s="230" t="s">
        <v>178</v>
      </c>
      <c r="E29" s="272">
        <f>'3. GGbudget'!E30</f>
        <v>-1.6423641408818845</v>
      </c>
      <c r="F29" s="273">
        <f>'3. GGbudget'!G30</f>
        <v>-2.2374472920629529</v>
      </c>
    </row>
    <row r="30" spans="1:6" ht="14.4" thickBot="1">
      <c r="A30" s="19"/>
      <c r="B30" s="19"/>
      <c r="C30" s="19"/>
      <c r="D30" s="230" t="s">
        <v>179</v>
      </c>
      <c r="E30" s="386">
        <f>'3. GGbudget'!F33</f>
        <v>-1</v>
      </c>
      <c r="F30" s="387"/>
    </row>
    <row r="31" spans="1:6" ht="14.4" thickBot="1">
      <c r="A31" s="19"/>
      <c r="B31" s="19"/>
      <c r="C31" s="19"/>
      <c r="D31" s="230" t="s">
        <v>180</v>
      </c>
      <c r="E31" s="272">
        <f>'2. Macro'!M20</f>
        <v>-0.41776906180451823</v>
      </c>
      <c r="F31" s="273">
        <f>'2. Macro'!M19</f>
        <v>1.2961162214431221</v>
      </c>
    </row>
    <row r="32" spans="1:6" ht="14.4" thickBot="1">
      <c r="A32" s="19"/>
      <c r="B32" s="19"/>
      <c r="C32" s="19"/>
      <c r="D32" s="230" t="s">
        <v>181</v>
      </c>
      <c r="E32" s="390">
        <f>'3. GGbudget'!F34</f>
        <v>0</v>
      </c>
      <c r="F32" s="391"/>
    </row>
    <row r="33" spans="1:9" ht="15" thickBot="1">
      <c r="A33" s="19"/>
      <c r="B33" s="19"/>
      <c r="C33" s="19"/>
      <c r="D33" s="230" t="s">
        <v>47</v>
      </c>
      <c r="E33" s="19"/>
      <c r="F33" s="19"/>
      <c r="G33" s="44" t="s">
        <v>48</v>
      </c>
    </row>
    <row r="34" spans="1:9" ht="15" thickBot="1">
      <c r="A34" s="19"/>
      <c r="B34" s="19"/>
      <c r="C34" s="230"/>
      <c r="D34" s="230" t="s">
        <v>49</v>
      </c>
      <c r="E34" s="382" t="s">
        <v>23</v>
      </c>
      <c r="F34" s="382"/>
      <c r="G34" s="44" t="s">
        <v>50</v>
      </c>
    </row>
    <row r="35" spans="1:9" ht="15" thickBot="1">
      <c r="A35" s="19"/>
      <c r="B35" s="19"/>
      <c r="C35" s="230"/>
      <c r="D35" s="230" t="s">
        <v>51</v>
      </c>
      <c r="E35" s="376" t="s">
        <v>24</v>
      </c>
      <c r="F35" s="376"/>
      <c r="G35" s="38" t="s">
        <v>52</v>
      </c>
    </row>
    <row r="36" spans="1:9" s="8" customFormat="1" ht="14.4">
      <c r="C36" s="28" t="s">
        <v>182</v>
      </c>
      <c r="D36" s="29" t="s">
        <v>183</v>
      </c>
      <c r="E36" s="39">
        <f>J13*1</f>
        <v>0</v>
      </c>
      <c r="F36" s="30"/>
    </row>
    <row r="37" spans="1:9" s="8" customFormat="1" ht="14.4">
      <c r="C37" s="28" t="s">
        <v>184</v>
      </c>
      <c r="D37" s="29" t="s">
        <v>185</v>
      </c>
      <c r="E37" s="39">
        <f>J15*1</f>
        <v>0</v>
      </c>
      <c r="F37" s="30"/>
    </row>
    <row r="38" spans="1:9" s="8" customFormat="1" ht="14.4">
      <c r="C38" s="28" t="s">
        <v>186</v>
      </c>
      <c r="D38" s="29" t="s">
        <v>187</v>
      </c>
      <c r="E38" s="39">
        <f>J17*1</f>
        <v>0</v>
      </c>
      <c r="F38" s="30"/>
      <c r="G38" s="31"/>
    </row>
    <row r="39" spans="1:9" s="8" customFormat="1" ht="14.4">
      <c r="C39" s="28" t="s">
        <v>188</v>
      </c>
      <c r="D39" s="29" t="s">
        <v>189</v>
      </c>
      <c r="E39" s="39">
        <f>J19*1</f>
        <v>0</v>
      </c>
      <c r="F39" s="30"/>
      <c r="G39" s="31"/>
    </row>
    <row r="40" spans="1:9" s="8" customFormat="1" ht="14.4">
      <c r="E40" s="39">
        <f>SUM(E36:E39)</f>
        <v>0</v>
      </c>
      <c r="F40" s="30"/>
    </row>
    <row r="41" spans="1:9" ht="14.4">
      <c r="C41" s="10"/>
      <c r="D41" s="10"/>
      <c r="E41" s="40"/>
      <c r="F41" s="10"/>
      <c r="G41" s="8"/>
      <c r="H41" s="8"/>
      <c r="I41" s="8"/>
    </row>
    <row r="42" spans="1:9">
      <c r="C42" s="10"/>
      <c r="D42" s="10"/>
      <c r="E42" s="10"/>
      <c r="F42" s="10"/>
      <c r="G42" s="8"/>
      <c r="H42" s="8"/>
      <c r="I42" s="8"/>
    </row>
    <row r="43" spans="1:9">
      <c r="C43" s="12"/>
      <c r="D43" s="10"/>
      <c r="E43" s="10"/>
      <c r="F43" s="10"/>
    </row>
    <row r="44" spans="1:9">
      <c r="C44" s="12"/>
      <c r="D44" s="10"/>
      <c r="E44" s="10"/>
      <c r="F44" s="10"/>
    </row>
    <row r="45" spans="1:9">
      <c r="C45" s="12"/>
      <c r="D45" s="12"/>
      <c r="E45" s="12"/>
      <c r="F45" s="12"/>
    </row>
  </sheetData>
  <mergeCells count="31">
    <mergeCell ref="B20:B23"/>
    <mergeCell ref="C17:C18"/>
    <mergeCell ref="D17:D19"/>
    <mergeCell ref="B17:B19"/>
    <mergeCell ref="C14:C15"/>
    <mergeCell ref="D14:D16"/>
    <mergeCell ref="B14:B16"/>
    <mergeCell ref="C22:C23"/>
    <mergeCell ref="B11:B13"/>
    <mergeCell ref="B1:C1"/>
    <mergeCell ref="B3:F3"/>
    <mergeCell ref="E4:F4"/>
    <mergeCell ref="C8:C9"/>
    <mergeCell ref="D8:D10"/>
    <mergeCell ref="B8:B10"/>
    <mergeCell ref="B5:D5"/>
    <mergeCell ref="B6:B7"/>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theme="7"/>
  </sheetPr>
  <dimension ref="A1:J70"/>
  <sheetViews>
    <sheetView showGridLines="0" showRowColHeaders="0" zoomScaleNormal="100" workbookViewId="0"/>
  </sheetViews>
  <sheetFormatPr defaultColWidth="10" defaultRowHeight="13.8"/>
  <cols>
    <col min="1" max="1" width="3.6640625" style="1" customWidth="1"/>
    <col min="2" max="2" width="5.5546875" style="36" customWidth="1"/>
    <col min="3" max="3" width="100.6640625" style="1" customWidth="1"/>
    <col min="4" max="4" width="14.5546875" style="1" customWidth="1"/>
    <col min="5" max="5" width="25.44140625" style="1" customWidth="1"/>
    <col min="6" max="7" width="17" style="1" customWidth="1"/>
    <col min="8" max="8" width="12" style="1" customWidth="1"/>
    <col min="9" max="16384" width="10" style="1"/>
  </cols>
  <sheetData>
    <row r="1" spans="1:10">
      <c r="A1" s="2"/>
      <c r="B1" s="440" t="s">
        <v>19</v>
      </c>
      <c r="C1" s="440"/>
    </row>
    <row r="2" spans="1:10" ht="14.4" thickBot="1">
      <c r="A2" s="8" t="s">
        <v>20</v>
      </c>
    </row>
    <row r="3" spans="1:10" ht="39.75" customHeight="1" thickTop="1" thickBot="1">
      <c r="B3" s="411" t="s">
        <v>278</v>
      </c>
      <c r="C3" s="412"/>
      <c r="D3" s="412"/>
      <c r="E3" s="412"/>
      <c r="F3" s="412"/>
      <c r="G3" s="413"/>
    </row>
    <row r="4" spans="1:10" ht="30" customHeight="1" thickBot="1">
      <c r="B4" s="179" t="s">
        <v>190</v>
      </c>
      <c r="C4" s="237" t="s">
        <v>191</v>
      </c>
      <c r="D4" s="441" t="s">
        <v>154</v>
      </c>
      <c r="E4" s="442"/>
      <c r="F4" s="414" t="s">
        <v>155</v>
      </c>
      <c r="G4" s="415"/>
      <c r="H4" s="46"/>
    </row>
    <row r="5" spans="1:10" ht="33.75" customHeight="1" thickBot="1">
      <c r="B5" s="416" t="s">
        <v>156</v>
      </c>
      <c r="C5" s="417"/>
      <c r="D5" s="417"/>
      <c r="E5" s="417"/>
      <c r="F5" s="178" t="s">
        <v>23</v>
      </c>
      <c r="G5" s="129" t="s">
        <v>24</v>
      </c>
      <c r="H5" s="5"/>
      <c r="I5" s="5"/>
      <c r="J5" s="5"/>
    </row>
    <row r="6" spans="1:10" ht="15" customHeight="1">
      <c r="B6" s="418"/>
      <c r="C6" s="231" t="s">
        <v>157</v>
      </c>
      <c r="D6" s="404"/>
      <c r="E6" s="404"/>
      <c r="F6" s="388" t="str">
        <f t="shared" ref="F6" si="0">"Taip"</f>
        <v>Taip</v>
      </c>
      <c r="G6" s="389"/>
    </row>
    <row r="7" spans="1:10" ht="14.25" customHeight="1" thickBot="1">
      <c r="B7" s="419"/>
      <c r="C7" s="232" t="s">
        <v>29</v>
      </c>
      <c r="D7" s="405"/>
      <c r="E7" s="405"/>
      <c r="F7" s="402" t="str">
        <f t="shared" ref="F7" si="1">"Yes"</f>
        <v>Yes</v>
      </c>
      <c r="G7" s="403"/>
    </row>
    <row r="8" spans="1:10" ht="30" customHeight="1">
      <c r="B8" s="426" t="s">
        <v>295</v>
      </c>
      <c r="C8" s="397" t="s">
        <v>192</v>
      </c>
      <c r="D8" s="399"/>
      <c r="E8" s="399"/>
      <c r="F8" s="161" t="str">
        <f>IF(F51+eps&lt;AVERAGE('2. Macro'!G32:K32)+2,"Tiesa","Netiesa")</f>
        <v>Netiesa</v>
      </c>
      <c r="G8" s="139" t="str">
        <f>IF(F51+eps&lt;AVERAGE('2. Macro'!G32:K32)+2,"Tiesa","Netiesa")</f>
        <v>Netiesa</v>
      </c>
      <c r="H8" s="5"/>
      <c r="I8" s="5"/>
      <c r="J8" s="5"/>
    </row>
    <row r="9" spans="1:10" ht="19.5" customHeight="1">
      <c r="B9" s="427"/>
      <c r="C9" s="398"/>
      <c r="D9" s="400"/>
      <c r="E9" s="400"/>
      <c r="F9" s="164" t="str">
        <f>CONCATENATE(FIXED(F51,1),IF(F8="Tiesa"," &lt; "," ≥ "),FIXED(AVERAGE('2. Macro'!I32:M32)+2,1))</f>
        <v>19,0 ≥ 6,0</v>
      </c>
      <c r="G9" s="140" t="str">
        <f>CONCATENATE(FIXED(G51,1),IF(G8="Tiesa"," &lt; "," ≥ "),FIXED(AVERAGE('2. Macro'!I32:M32)+2,1))</f>
        <v>19,0 ≥ 6,0</v>
      </c>
      <c r="H9" s="5"/>
      <c r="I9" s="5"/>
      <c r="J9" s="5"/>
    </row>
    <row r="10" spans="1:10" ht="34.5" customHeight="1" thickBot="1">
      <c r="B10" s="428"/>
      <c r="C10" s="223" t="s">
        <v>193</v>
      </c>
      <c r="D10" s="401"/>
      <c r="E10" s="401"/>
      <c r="F10" s="172" t="str">
        <f>IF(F8="Tiesa","True","False")</f>
        <v>False</v>
      </c>
      <c r="G10" s="141" t="str">
        <f>IF(G8="Tiesa","True","False")</f>
        <v>False</v>
      </c>
      <c r="H10" s="5"/>
      <c r="I10" s="5"/>
      <c r="J10" s="5"/>
    </row>
    <row r="11" spans="1:10" ht="30" customHeight="1" thickBot="1">
      <c r="B11" s="443" t="s">
        <v>296</v>
      </c>
      <c r="C11" s="429" t="s">
        <v>194</v>
      </c>
      <c r="D11" s="446" t="s">
        <v>270</v>
      </c>
      <c r="E11" s="446"/>
      <c r="F11" s="161" t="str">
        <f>IF('3. GGbudget'!F8&gt;='3. GGbudget'!E8+1,"Tiesa","Netiesa")</f>
        <v>Netiesa</v>
      </c>
      <c r="G11" s="139" t="str">
        <f>IF('3. GGbudget'!H8&gt;='3. GGbudget'!G8+1,"Tiesa","Netiesa")</f>
        <v>Netiesa</v>
      </c>
    </row>
    <row r="12" spans="1:10" ht="15" customHeight="1" thickBot="1">
      <c r="B12" s="444"/>
      <c r="C12" s="430"/>
      <c r="D12" s="447"/>
      <c r="E12" s="447"/>
      <c r="F12" s="164" t="str">
        <f>CONCATENATE(FIXED('3. GGbudget'!F8-'3. GGbudget'!E8,1),IF(F11="Tiesa"," ≥ "," &lt; "),FIXED(1,1))</f>
        <v>0,6 &lt; 1,0</v>
      </c>
      <c r="G12" s="140" t="str">
        <f>CONCATENATE(FIXED('3. GGbudget'!H8-'3. GGbudget'!G8,1),IF(G11="Tiesa"," ≥ "," &lt; "),FIXED(1,1))</f>
        <v>0,6 &lt; 1,0</v>
      </c>
    </row>
    <row r="13" spans="1:10" ht="30" customHeight="1" thickBot="1">
      <c r="B13" s="445"/>
      <c r="C13" s="238" t="s">
        <v>195</v>
      </c>
      <c r="D13" s="448"/>
      <c r="E13" s="448"/>
      <c r="F13" s="172" t="str">
        <f>IF(F11="Tiesa","True","False")</f>
        <v>False</v>
      </c>
      <c r="G13" s="141" t="str">
        <f>IF(G11="Tiesa","True","False")</f>
        <v>False</v>
      </c>
    </row>
    <row r="14" spans="1:10" ht="27.75" customHeight="1" thickBot="1">
      <c r="B14" s="443" t="s">
        <v>297</v>
      </c>
      <c r="C14" s="429" t="s">
        <v>196</v>
      </c>
      <c r="D14" s="449"/>
      <c r="E14" s="449"/>
      <c r="F14" s="166" t="str">
        <f>IF(ROUND(AVERAGE('2. Macro'!G36:K36),1)&gt;=0.1,"Tiesa","Netiesa")</f>
        <v>Netiesa</v>
      </c>
      <c r="G14" s="142" t="str">
        <f>IF(ROUND(AVERAGE('2. Macro'!G35:K35),1)&gt;=0.1,"Tiesa","Netiesa")</f>
        <v>Netiesa</v>
      </c>
    </row>
    <row r="15" spans="1:10" ht="15" customHeight="1" thickBot="1">
      <c r="B15" s="444"/>
      <c r="C15" s="430"/>
      <c r="D15" s="450"/>
      <c r="E15" s="450"/>
      <c r="F15" s="173" t="str">
        <f>CONCATENATE(FIXED(AVERAGE('2. Macro'!G36:K36),1),IF(F14="Tiesa"," ≥ "," &lt; "),FIXED(0.1,1))</f>
        <v>-1,0 &lt; 0,1</v>
      </c>
      <c r="G15" s="143" t="str">
        <f>CONCATENATE(FIXED(AVERAGE('2. Macro'!G35:K35),1),IF(G14="Tiesa"," ≥ "," &lt; "),FIXED(0.1,1))</f>
        <v>-1,0 &lt; 0,1</v>
      </c>
    </row>
    <row r="16" spans="1:10" ht="29.4" thickBot="1">
      <c r="B16" s="445"/>
      <c r="C16" s="238" t="s">
        <v>197</v>
      </c>
      <c r="D16" s="451"/>
      <c r="E16" s="451"/>
      <c r="F16" s="174" t="str">
        <f>IF(F14="Tiesa","True","False")</f>
        <v>False</v>
      </c>
      <c r="G16" s="144" t="str">
        <f>IF(G14="Tiesa","True","False")</f>
        <v>False</v>
      </c>
    </row>
    <row r="17" spans="2:8" ht="51.75" customHeight="1">
      <c r="B17" s="426" t="s">
        <v>298</v>
      </c>
      <c r="C17" s="429" t="s">
        <v>198</v>
      </c>
      <c r="D17" s="399" t="s">
        <v>267</v>
      </c>
      <c r="E17" s="399"/>
      <c r="F17" s="161" t="str">
        <f>IF(F57="", "Netaikoma",IF(ROUND(F58,1)&gt;=F57,"Tiesa","Netiesa"))</f>
        <v>Netaikoma</v>
      </c>
      <c r="G17" s="139" t="str">
        <f>IF(F57="", "Netaikoma",IF(ROUND(G58,1)&gt;=G57,"Tiesa","Netiesa"))</f>
        <v>Netaikoma</v>
      </c>
    </row>
    <row r="18" spans="2:8" ht="18.75" customHeight="1">
      <c r="B18" s="427"/>
      <c r="C18" s="430"/>
      <c r="D18" s="400"/>
      <c r="E18" s="400"/>
      <c r="F18" s="173" t="str">
        <f>IF(F17="Netaikoma","",CONCATENATE(FIXED(F58,1),IF(F14="Tiesa"," ≥ "," &lt; "),FIXED(F57,1)))</f>
        <v/>
      </c>
      <c r="G18" s="140" t="str">
        <f>IF(F17="Netaikoma","",CONCATENATE(FIXED(G58,1),IF(G14="Tiesa"," ≥ "," &lt; "),FIXED(G57,1)))</f>
        <v/>
      </c>
    </row>
    <row r="19" spans="2:8" ht="51.75" customHeight="1" thickBot="1">
      <c r="B19" s="428"/>
      <c r="C19" s="223" t="s">
        <v>199</v>
      </c>
      <c r="D19" s="401"/>
      <c r="E19" s="401"/>
      <c r="F19" s="172" t="str">
        <f>IF(F17="Netaikoma","Not applicable",IF(F17="Tiesa","True","False"))</f>
        <v>Not applicable</v>
      </c>
      <c r="G19" s="141" t="str">
        <f>IF(F17="Netaikoma","Not applicable",IF(G17="Tiesa","True","False"))</f>
        <v>Not applicable</v>
      </c>
    </row>
    <row r="20" spans="2:8" ht="44.25" customHeight="1">
      <c r="B20" s="426" t="s">
        <v>299</v>
      </c>
      <c r="C20" s="429" t="s">
        <v>200</v>
      </c>
      <c r="D20" s="399" t="s">
        <v>201</v>
      </c>
      <c r="E20" s="399"/>
      <c r="F20" s="161" t="str">
        <f>IF(F52+eps&lt;0,"Tiesa","Netiesa")</f>
        <v>Tiesa</v>
      </c>
      <c r="G20" s="139" t="str">
        <f>IF(G52+eps&lt;0,"Tiesa","Netiesa")</f>
        <v>Netiesa</v>
      </c>
    </row>
    <row r="21" spans="2:8" ht="20.25" customHeight="1">
      <c r="B21" s="427"/>
      <c r="C21" s="430"/>
      <c r="D21" s="400"/>
      <c r="E21" s="400"/>
      <c r="F21" s="173" t="str">
        <f>CONCATENATE(FIXED(F52,1),IF(F20="Tiesa"," &lt; "," ≥ "),FIXED(0,1))</f>
        <v>-0,4 &lt; 0,0</v>
      </c>
      <c r="G21" s="140" t="str">
        <f>CONCATENATE(FIXED(G52,1),IF(G20="Tiesa"," &lt; "," ≥ "),FIXED(0,1))</f>
        <v>1,3 ≥ 0,0</v>
      </c>
    </row>
    <row r="22" spans="2:8" ht="48" customHeight="1" thickBot="1">
      <c r="B22" s="428"/>
      <c r="C22" s="223" t="s">
        <v>202</v>
      </c>
      <c r="D22" s="401"/>
      <c r="E22" s="401"/>
      <c r="F22" s="172" t="str">
        <f>IF(F20="Tiesa","True","False")</f>
        <v>True</v>
      </c>
      <c r="G22" s="141" t="str">
        <f>IF(G20="Tiesa","True","False")</f>
        <v>False</v>
      </c>
    </row>
    <row r="23" spans="2:8" ht="21.75" customHeight="1">
      <c r="B23" s="407" t="s">
        <v>203</v>
      </c>
      <c r="C23" s="392" t="s">
        <v>285</v>
      </c>
      <c r="D23" s="404"/>
      <c r="E23" s="404"/>
      <c r="F23" s="175" t="str">
        <f>+IF((OR(F8="Tiesa",F11="Tiesa",F14="Tiesa",F20="Tiesa")),"Taip","Ne")</f>
        <v>Taip</v>
      </c>
      <c r="G23" s="135" t="str">
        <f>+IF((OR(G8="Tiesa",G11="Tiesa",G14="Tiesa",G20="Tiesa")),"Taip","Ne")</f>
        <v>Ne</v>
      </c>
      <c r="H23" s="32"/>
    </row>
    <row r="24" spans="2:8" ht="45.75" customHeight="1">
      <c r="B24" s="408"/>
      <c r="C24" s="393"/>
      <c r="D24" s="436"/>
      <c r="E24" s="436"/>
      <c r="F24" s="176" t="str">
        <f>IF(F23="Taip",CONCATENATE("Susidaro ", IF(F64=1,CONCATENATE(H64," "),""),IF(F65=1,CONCATENATE(H65," "),""),IF(F66=1,CONCATENATE(H66," "),""),IF(F67=1,CONCATENATE(H67," "),""),IF(F68=1,CONCATENATE(H68," "),""),IF(F69=1,"aplinkybė","aplinkybės")),"Išimčių nėra")</f>
        <v>Susidaro A5 aplinkybė</v>
      </c>
      <c r="G24" s="136" t="str">
        <f>IF(G23="Taip",CONCATENATE("Susidaro ", IF(G64=1,CONCATENATE(I64," "),""),IF(G65=1,CONCATENATE(I65," "),""),IF(G66=1,CONCATENATE(I66," "),""),IF(G67=1,CONCATENATE(I67," "),""),IF(G68=1,CONCATENATE(I68," "),""),IF(G69=1,"aplinkybė","aplinkybės")),"Išimčių nėra")</f>
        <v>Išimčių nėra</v>
      </c>
    </row>
    <row r="25" spans="2:8" ht="18" customHeight="1">
      <c r="B25" s="408"/>
      <c r="C25" s="424" t="s">
        <v>204</v>
      </c>
      <c r="D25" s="436"/>
      <c r="E25" s="436"/>
      <c r="F25" s="177" t="str">
        <f>IF(F23="Taip","Yes","No")</f>
        <v>Yes</v>
      </c>
      <c r="G25" s="145" t="str">
        <f>IF(G23="Taip","Yes","No")</f>
        <v>No</v>
      </c>
    </row>
    <row r="26" spans="2:8" ht="55.5" customHeight="1" thickBot="1">
      <c r="B26" s="409"/>
      <c r="C26" s="437"/>
      <c r="D26" s="405"/>
      <c r="E26" s="405"/>
      <c r="F26" s="163" t="str">
        <f>IF(F25="Yes",CONCATENATE(IF(F69=1,"Escape clause ","Escape clauses "), IF(F64=1,CONCATENATE(H64," "),""),IF(F65=1,CONCATENATE(H65," "),""),IF(F66=1,CONCATENATE(H66," "),""),IF(F67=1,CONCATENATE(H67," "),""),IF(F68=1,CONCATENATE(H68," "),""),"emerge"),"No escape clauses emerge")</f>
        <v>Escape clause A5 emerge</v>
      </c>
      <c r="G26" s="146" t="str">
        <f>IF(G25="Yes",CONCATENATE(IF(G69=1,"Escape clause ","Escape clauses "), IF(G64=1,CONCATENATE(I64," "),""),IF(G65=1,CONCATENATE(I65," "),""),IF(G66=1,CONCATENATE(I66," "),""),IF(G67=1,CONCATENATE(I67," "),""),IF(G68=1,CONCATENATE(I68," "),""),"emerge"),"No escape clauses emerge")</f>
        <v>No escape clauses emerge</v>
      </c>
    </row>
    <row r="27" spans="2:8" ht="33.75" customHeight="1" thickBot="1">
      <c r="B27" s="180" t="s">
        <v>281</v>
      </c>
      <c r="C27" s="181" t="s">
        <v>282</v>
      </c>
      <c r="D27" s="433" t="s">
        <v>283</v>
      </c>
      <c r="E27" s="434"/>
      <c r="F27" s="431" t="s">
        <v>284</v>
      </c>
      <c r="G27" s="432"/>
      <c r="H27" s="33"/>
    </row>
    <row r="28" spans="2:8" ht="32.25" customHeight="1">
      <c r="B28" s="407" t="s">
        <v>300</v>
      </c>
      <c r="C28" s="435" t="s">
        <v>205</v>
      </c>
      <c r="D28" s="239"/>
      <c r="E28" s="240"/>
      <c r="F28" s="169" t="str">
        <f>IF((F23="Taip"),"",IF(AVERAGE('2. Macro'!G36:K36)+eps&lt;0,"Tiesa","Netiesa"))</f>
        <v/>
      </c>
      <c r="G28" s="147" t="str">
        <f>IF((G23="Taip"),"",IF(AVERAGE('2. Macro'!G35:K35)+eps&lt;0,"Tiesa","Netiesa"))</f>
        <v>Tiesa</v>
      </c>
    </row>
    <row r="29" spans="2:8" ht="15.75" customHeight="1">
      <c r="B29" s="408"/>
      <c r="C29" s="435"/>
      <c r="D29" s="90" t="s">
        <v>206</v>
      </c>
      <c r="E29" s="241"/>
      <c r="F29" s="115" t="str">
        <f>IF((F23="Taip"),"",CONCATENATE(FIXED(AVERAGE('2. Macro'!G36:K36),1),IF(F28="Tiesa"," &lt; "," ≥ "),FIXED(0,1)))</f>
        <v/>
      </c>
      <c r="G29" s="148" t="str">
        <f>IF((G23="Taip"),"",CONCATENATE(FIXED(AVERAGE('2. Macro'!G35:K35),1),IF(G28="Tiesa"," &lt; "," ≥ "),FIXED(0,1)))</f>
        <v>-1,0 &lt; 0,0</v>
      </c>
    </row>
    <row r="30" spans="2:8" ht="18" customHeight="1" thickBot="1">
      <c r="B30" s="408"/>
      <c r="C30" s="435"/>
      <c r="D30" s="90"/>
      <c r="E30" s="241"/>
      <c r="F30" s="170" t="str">
        <f>IF(F25="Yes","",IF(F28="Tiesa","True","False"))</f>
        <v/>
      </c>
      <c r="G30" s="149" t="str">
        <f>IF(G25="Yes","",IF(G28="Tiesa","True","False"))</f>
        <v>True</v>
      </c>
    </row>
    <row r="31" spans="2:8" ht="24" customHeight="1">
      <c r="B31" s="408"/>
      <c r="C31" s="435"/>
      <c r="D31" s="239"/>
      <c r="E31" s="240"/>
      <c r="F31" s="169" t="str">
        <f>IF(OR(F23="Taip",F28="Netiesa",F6="Taip"),"Netaikoma", IF(F53&lt;=(F54)*(0.5*F56),"Tenkinama","Netenkinama"))</f>
        <v>Netaikoma</v>
      </c>
      <c r="G31" s="147" t="str">
        <f>IF(OR(G23="Taip",G28="Netiesa",F6="Taip"),"Netaikoma", IF(G53&lt;=(G54)*(0.5*G56),"Tenkinama","Netenkinama"))</f>
        <v>Netaikoma</v>
      </c>
    </row>
    <row r="32" spans="2:8" ht="69" customHeight="1">
      <c r="B32" s="408"/>
      <c r="C32" s="435"/>
      <c r="D32" s="90"/>
      <c r="E32" s="241"/>
      <c r="F32" s="115" t="str">
        <f>IF(F6="Taip", "Paskelbtos išskirtinės aplinkybės",IF(F23="Taip",IF(F69=1,"Susidarė viena iš KĮ numatytų netaikymo aplinkybių","Susidarė KĮ numatytos netaikymo aplinkybės"),CONCATENATE(ROUND(($G$39-F41)/($G$40-F42),3),IF(F31="Tiesa"," ≤ "," &gt; "), ROUND(0.5*F56,3))))</f>
        <v>Paskelbtos išskirtinės aplinkybės</v>
      </c>
      <c r="G32" s="150" t="str">
        <f>IF(F6="Taip", "Paskelbtos išskirtinės aplinkybės",IF(G23="Taip",IF(G69=1,"Susidarė viena iš KĮ numatytų netaikymo aplinkybių","Susidarė KĮ numatytos netaikymo aplinkybės"),CONCATENATE(ROUND(G55,3),IF(G31="Tenkinama"," ≤ "," &gt; "), ROUND(0.5*G56,3))))</f>
        <v>Paskelbtos išskirtinės aplinkybės</v>
      </c>
    </row>
    <row r="33" spans="2:8" ht="21" customHeight="1">
      <c r="B33" s="408"/>
      <c r="C33" s="438" t="s">
        <v>207</v>
      </c>
      <c r="D33" s="90"/>
      <c r="E33" s="241"/>
      <c r="F33" s="171" t="str">
        <f>IF(F31="Netaikoma","Not applied",IF(F31="Tiesa","True","False"))</f>
        <v>Not applied</v>
      </c>
      <c r="G33" s="151" t="str">
        <f>IF(G31="Netaikoma","Not applied",IF(G31="Tenkinama","True","False"))</f>
        <v>Not applied</v>
      </c>
    </row>
    <row r="34" spans="2:8" ht="70.5" customHeight="1" thickBot="1">
      <c r="B34" s="420"/>
      <c r="C34" s="439"/>
      <c r="D34" s="242"/>
      <c r="E34" s="243"/>
      <c r="F34" s="244" t="str">
        <f>IF(F7="Yes","Exceptional Circumstances",IF(F25="Yes",IF(F69=1,"CL escape clause emerged","CL escape clauses emerged"),""))</f>
        <v>Exceptional Circumstances</v>
      </c>
      <c r="G34" s="245" t="str">
        <f>IF(F7="Yes","Exceptional Circumstances",IF(G25="Yes",IF(G69=1,"CL escape clause emerged","CL escape clauses emerged"),""))</f>
        <v>Exceptional Circumstances</v>
      </c>
    </row>
    <row r="35" spans="2:8" ht="28.5" customHeight="1" thickTop="1">
      <c r="B35" s="57"/>
      <c r="C35" s="383" t="s">
        <v>208</v>
      </c>
      <c r="D35" s="383"/>
      <c r="E35" s="383"/>
      <c r="F35" s="246"/>
      <c r="G35" s="246"/>
    </row>
    <row r="36" spans="2:8" ht="28.5" customHeight="1">
      <c r="B36" s="57"/>
      <c r="C36" s="406" t="s">
        <v>266</v>
      </c>
      <c r="D36" s="406"/>
      <c r="E36" s="406"/>
      <c r="F36" s="246"/>
      <c r="G36" s="246"/>
    </row>
    <row r="37" spans="2:8" ht="18.75" customHeight="1" thickBot="1">
      <c r="B37" s="57"/>
      <c r="C37" s="226" t="s">
        <v>209</v>
      </c>
      <c r="D37" s="247"/>
      <c r="E37" s="247"/>
      <c r="F37" s="246"/>
      <c r="G37" s="246"/>
    </row>
    <row r="38" spans="2:8" ht="15" customHeight="1" thickBot="1">
      <c r="B38" s="57"/>
      <c r="C38" s="229" t="s">
        <v>210</v>
      </c>
      <c r="D38" s="246"/>
      <c r="E38" s="19"/>
      <c r="F38" s="453">
        <f>metai</f>
        <v>2022</v>
      </c>
      <c r="G38" s="453"/>
    </row>
    <row r="39" spans="2:8" ht="15" thickBot="1">
      <c r="B39" s="57"/>
      <c r="C39" s="248"/>
      <c r="D39" s="246"/>
      <c r="E39" s="230" t="s">
        <v>211</v>
      </c>
      <c r="F39" s="249">
        <f>'3. GGbudget'!F21</f>
        <v>22150.79438431</v>
      </c>
      <c r="G39" s="250">
        <f>'3. GGbudget'!H21</f>
        <v>22150.79438431</v>
      </c>
      <c r="H39" s="56"/>
    </row>
    <row r="40" spans="2:8" ht="15" customHeight="1" thickBot="1">
      <c r="B40" s="57"/>
      <c r="C40" s="246"/>
      <c r="D40" s="246"/>
      <c r="E40" s="230" t="s">
        <v>212</v>
      </c>
      <c r="F40" s="249">
        <f>'3. GGbudget'!E21</f>
        <v>19049.885746040003</v>
      </c>
      <c r="G40" s="250">
        <f>'3. GGbudget'!G21</f>
        <v>19049.885746040003</v>
      </c>
      <c r="H40" s="56"/>
    </row>
    <row r="41" spans="2:8" ht="14.4" thickBot="1">
      <c r="B41" s="57"/>
      <c r="C41" s="246"/>
      <c r="D41" s="246"/>
      <c r="E41" s="230" t="s">
        <v>213</v>
      </c>
      <c r="F41" s="455">
        <v>2269.2338</v>
      </c>
      <c r="G41" s="455"/>
      <c r="H41" s="37"/>
    </row>
    <row r="42" spans="2:8" ht="14.4" thickBot="1">
      <c r="B42" s="57"/>
      <c r="C42" s="246"/>
      <c r="D42" s="246"/>
      <c r="E42" s="230" t="s">
        <v>214</v>
      </c>
      <c r="F42" s="455">
        <v>1924.1780000000001</v>
      </c>
      <c r="G42" s="455"/>
      <c r="H42" s="37"/>
    </row>
    <row r="43" spans="2:8" ht="14.4" thickBot="1">
      <c r="B43" s="57"/>
      <c r="C43" s="227"/>
      <c r="D43" s="251"/>
      <c r="E43" s="230" t="s">
        <v>215</v>
      </c>
      <c r="F43" s="252">
        <f>'3. GGbudget'!F15</f>
        <v>24327.861000000001</v>
      </c>
      <c r="G43" s="250">
        <f>'3. GGbudget'!H15</f>
        <v>24327.861000000001</v>
      </c>
      <c r="H43" s="37"/>
    </row>
    <row r="44" spans="2:8" ht="14.4" thickBot="1">
      <c r="B44" s="57"/>
      <c r="C44" s="227"/>
      <c r="D44" s="251"/>
      <c r="E44" s="230" t="s">
        <v>216</v>
      </c>
      <c r="F44" s="252">
        <f>'3. GGbudget'!E15</f>
        <v>21064.951000000001</v>
      </c>
      <c r="G44" s="250">
        <f>'3. GGbudget'!G15</f>
        <v>21064.951000000001</v>
      </c>
      <c r="H44" s="37"/>
    </row>
    <row r="45" spans="2:8" ht="14.4" thickBot="1">
      <c r="B45" s="57"/>
      <c r="C45" s="227"/>
      <c r="D45" s="251"/>
      <c r="E45" s="230" t="s">
        <v>217</v>
      </c>
      <c r="F45" s="249">
        <f>'2. Macro'!L36-'2. Macro'!K36</f>
        <v>5.3750663503316529</v>
      </c>
      <c r="G45" s="253">
        <f>'2. Macro'!L35-'2. Macro'!K35</f>
        <v>5.3750663503316529</v>
      </c>
    </row>
    <row r="46" spans="2:8" ht="14.4" thickBot="1">
      <c r="B46" s="57"/>
      <c r="C46" s="254"/>
      <c r="D46" s="251"/>
      <c r="E46" s="230" t="s">
        <v>218</v>
      </c>
      <c r="F46" s="249">
        <f>('2. Macro'!K36-'2. Macro'!J36)-('2. Macro'!J36-'2. Macro'!I36)</f>
        <v>-6.9316697329754859</v>
      </c>
      <c r="G46" s="253">
        <f>('2. Macro'!K35-'2. Macro'!J35)-('2. Macro'!J35-'2. Macro'!I35)</f>
        <v>-6.9316697329754859</v>
      </c>
      <c r="H46" s="37"/>
    </row>
    <row r="47" spans="2:8" ht="14.4" thickBot="1">
      <c r="B47" s="57"/>
      <c r="C47" s="255" t="s">
        <v>308</v>
      </c>
      <c r="D47" s="251"/>
      <c r="E47" s="255" t="s">
        <v>219</v>
      </c>
      <c r="F47" s="454">
        <v>1.169</v>
      </c>
      <c r="G47" s="454"/>
      <c r="H47" s="37"/>
    </row>
    <row r="48" spans="2:8" ht="15" customHeight="1" thickBot="1">
      <c r="B48" s="57"/>
      <c r="C48" s="255" t="s">
        <v>309</v>
      </c>
      <c r="D48" s="251"/>
      <c r="E48" s="255" t="s">
        <v>220</v>
      </c>
      <c r="F48" s="454">
        <v>1.1719999999999999</v>
      </c>
      <c r="G48" s="454"/>
      <c r="H48" s="37"/>
    </row>
    <row r="49" spans="2:9" ht="15" customHeight="1" thickBot="1">
      <c r="B49" s="57"/>
      <c r="C49" s="255" t="s">
        <v>310</v>
      </c>
      <c r="D49" s="251"/>
      <c r="E49" s="255" t="s">
        <v>221</v>
      </c>
      <c r="F49" s="454">
        <v>1.165</v>
      </c>
      <c r="G49" s="454"/>
      <c r="H49" s="37"/>
    </row>
    <row r="50" spans="2:9" ht="15" customHeight="1" thickBot="1">
      <c r="B50" s="57"/>
      <c r="C50" s="255" t="s">
        <v>274</v>
      </c>
      <c r="D50" s="251"/>
      <c r="E50" s="255" t="s">
        <v>222</v>
      </c>
      <c r="F50" s="454">
        <v>1.0740000000000001</v>
      </c>
      <c r="G50" s="454"/>
      <c r="H50" s="37"/>
    </row>
    <row r="51" spans="2:9" ht="15" customHeight="1" thickBot="1">
      <c r="B51" s="57"/>
      <c r="C51" s="256" t="s">
        <v>307</v>
      </c>
      <c r="D51" s="251"/>
      <c r="E51" s="255" t="s">
        <v>223</v>
      </c>
      <c r="F51" s="249">
        <v>19</v>
      </c>
      <c r="G51" s="249">
        <v>19</v>
      </c>
      <c r="H51" s="37"/>
    </row>
    <row r="52" spans="2:9" ht="15" customHeight="1" thickBot="1">
      <c r="B52" s="57"/>
      <c r="C52" s="19"/>
      <c r="D52" s="251"/>
      <c r="E52" s="230" t="s">
        <v>224</v>
      </c>
      <c r="F52" s="249">
        <f>'2. Macro'!M20</f>
        <v>-0.41776906180451823</v>
      </c>
      <c r="G52" s="253">
        <f>'2. Macro'!M19</f>
        <v>1.2961162214431221</v>
      </c>
    </row>
    <row r="53" spans="2:9" ht="15" customHeight="1" thickBot="1">
      <c r="B53" s="57"/>
      <c r="C53" s="19"/>
      <c r="D53" s="230"/>
      <c r="E53" s="230" t="s">
        <v>225</v>
      </c>
      <c r="F53" s="257">
        <f>F39-F41</f>
        <v>19881.560584309998</v>
      </c>
      <c r="G53" s="257">
        <f>+G39-F41</f>
        <v>19881.560584309998</v>
      </c>
      <c r="H53" s="37"/>
      <c r="I53" s="54"/>
    </row>
    <row r="54" spans="2:9" ht="15" customHeight="1" thickBot="1">
      <c r="B54" s="57"/>
      <c r="C54" s="19"/>
      <c r="D54" s="230"/>
      <c r="E54" s="230" t="s">
        <v>226</v>
      </c>
      <c r="F54" s="257">
        <f>F40-F42</f>
        <v>17125.707746040003</v>
      </c>
      <c r="G54" s="257">
        <f>+G40-$F$42</f>
        <v>17125.707746040003</v>
      </c>
      <c r="H54" s="37"/>
      <c r="I54" s="54"/>
    </row>
    <row r="55" spans="2:9" ht="15" customHeight="1" thickBot="1">
      <c r="B55" s="57"/>
      <c r="C55" s="19"/>
      <c r="D55" s="230"/>
      <c r="E55" s="230" t="s">
        <v>227</v>
      </c>
      <c r="F55" s="257">
        <f>+(F53/F54-1)*100</f>
        <v>16.091906268266399</v>
      </c>
      <c r="G55" s="257">
        <f>+(G53/G54-1)*100</f>
        <v>16.091906268266399</v>
      </c>
      <c r="H55" s="37"/>
      <c r="I55" s="45"/>
    </row>
    <row r="56" spans="2:9" s="8" customFormat="1" ht="16.8" thickBot="1">
      <c r="B56" s="57"/>
      <c r="C56" s="19"/>
      <c r="D56" s="230"/>
      <c r="E56" s="230" t="s">
        <v>228</v>
      </c>
      <c r="F56" s="257">
        <f>(POWER('2. Macro'!O16/'2. Macro'!E16,0.1)*POWER(PRODUCT(F47:F50),0.25)-1)*100</f>
        <v>17.975588838626201</v>
      </c>
      <c r="G56" s="257">
        <f>(POWER('2. Macro'!O15/'2. Macro'!E15,0.1)*POWER(PRODUCT(F47:F50),0.25)-1)*100</f>
        <v>17.897361442614311</v>
      </c>
      <c r="H56" s="37"/>
      <c r="I56" s="54"/>
    </row>
    <row r="57" spans="2:9" s="8" customFormat="1" ht="14.4" hidden="1" thickBot="1">
      <c r="B57" s="57"/>
      <c r="C57" s="19"/>
      <c r="D57" s="230"/>
      <c r="E57" s="230" t="s">
        <v>268</v>
      </c>
      <c r="F57" s="258"/>
      <c r="G57" s="259"/>
      <c r="H57" s="45"/>
      <c r="I57" s="45"/>
    </row>
    <row r="58" spans="2:9" s="8" customFormat="1" ht="14.4" hidden="1" thickBot="1">
      <c r="B58" s="57"/>
      <c r="C58" s="19"/>
      <c r="D58" s="230"/>
      <c r="E58" s="230" t="s">
        <v>269</v>
      </c>
      <c r="F58" s="260"/>
      <c r="G58" s="261"/>
      <c r="H58" s="45"/>
    </row>
    <row r="59" spans="2:9" s="8" customFormat="1">
      <c r="B59" s="57"/>
      <c r="C59" s="19"/>
      <c r="D59" s="230"/>
      <c r="E59" s="230"/>
      <c r="F59" s="262"/>
      <c r="G59" s="262"/>
    </row>
    <row r="60" spans="2:9" s="8" customFormat="1" ht="15" thickBot="1">
      <c r="B60" s="57"/>
      <c r="C60" s="19"/>
      <c r="D60" s="230"/>
      <c r="E60" s="230" t="s">
        <v>47</v>
      </c>
      <c r="F60" s="230"/>
      <c r="G60" s="263"/>
      <c r="H60" s="44" t="s">
        <v>48</v>
      </c>
    </row>
    <row r="61" spans="2:9" s="8" customFormat="1" ht="15" thickBot="1">
      <c r="B61" s="57"/>
      <c r="C61" s="19"/>
      <c r="D61" s="230"/>
      <c r="E61" s="230" t="s">
        <v>49</v>
      </c>
      <c r="F61" s="382" t="s">
        <v>23</v>
      </c>
      <c r="G61" s="382"/>
      <c r="H61" s="44" t="s">
        <v>50</v>
      </c>
    </row>
    <row r="62" spans="2:9" s="8" customFormat="1" ht="15" thickBot="1">
      <c r="B62" s="57"/>
      <c r="C62" s="19"/>
      <c r="D62" s="230"/>
      <c r="E62" s="230" t="s">
        <v>51</v>
      </c>
      <c r="F62" s="376" t="s">
        <v>24</v>
      </c>
      <c r="G62" s="376"/>
      <c r="H62" s="44" t="s">
        <v>52</v>
      </c>
    </row>
    <row r="63" spans="2:9" s="8" customFormat="1" ht="15" thickBot="1">
      <c r="B63" s="57"/>
      <c r="C63" s="19"/>
      <c r="D63" s="230"/>
      <c r="E63" s="230" t="s">
        <v>229</v>
      </c>
      <c r="F63" s="452" t="s">
        <v>230</v>
      </c>
      <c r="G63" s="452"/>
      <c r="H63" s="44" t="s">
        <v>231</v>
      </c>
    </row>
    <row r="64" spans="2:9" s="8" customFormat="1">
      <c r="B64" s="264"/>
      <c r="C64" s="236"/>
      <c r="D64" s="265" t="s">
        <v>232</v>
      </c>
      <c r="E64" s="265"/>
      <c r="F64" s="266">
        <f>IF(F8="Tiesa",1,0)</f>
        <v>0</v>
      </c>
      <c r="G64" s="266">
        <f>IF(G8="Tiesa",1,0)</f>
        <v>0</v>
      </c>
      <c r="H64" s="42" t="str">
        <f>IF(F64=1,$D64,"")</f>
        <v/>
      </c>
      <c r="I64" s="42" t="str">
        <f>IF(G64=1,$D64,"")</f>
        <v/>
      </c>
    </row>
    <row r="65" spans="2:9">
      <c r="B65" s="264"/>
      <c r="C65" s="236"/>
      <c r="D65" s="265" t="s">
        <v>233</v>
      </c>
      <c r="E65" s="265"/>
      <c r="F65" s="266">
        <f>IF(F11="Tiesa",1,0)</f>
        <v>0</v>
      </c>
      <c r="G65" s="266">
        <f>IF(G11="Tiesa",1,0)</f>
        <v>0</v>
      </c>
      <c r="H65" s="42" t="str">
        <f t="shared" ref="H65:I68" si="2">IF(F65=1,$D65,"")</f>
        <v/>
      </c>
      <c r="I65" s="42" t="str">
        <f>IF(G65=1,$D65,"")</f>
        <v/>
      </c>
    </row>
    <row r="66" spans="2:9">
      <c r="B66" s="57"/>
      <c r="C66" s="267"/>
      <c r="D66" s="265" t="s">
        <v>234</v>
      </c>
      <c r="E66" s="265"/>
      <c r="F66" s="266">
        <f>IF(F14="Tiesa",1,0)</f>
        <v>0</v>
      </c>
      <c r="G66" s="266">
        <f>IF(G14="Tiesa",1,0)</f>
        <v>0</v>
      </c>
      <c r="H66" s="42" t="str">
        <f>IF(F66=1,$D66,"")</f>
        <v/>
      </c>
      <c r="I66" s="42" t="str">
        <f t="shared" si="2"/>
        <v/>
      </c>
    </row>
    <row r="67" spans="2:9">
      <c r="D67" s="42" t="s">
        <v>235</v>
      </c>
      <c r="E67" s="42"/>
      <c r="F67" s="47">
        <f>IF(F17="Tiesa",1,0)</f>
        <v>0</v>
      </c>
      <c r="G67" s="47">
        <f>IF(G17="Tiesa",1,0)</f>
        <v>0</v>
      </c>
      <c r="H67" s="42" t="str">
        <f t="shared" si="2"/>
        <v/>
      </c>
      <c r="I67" s="42" t="str">
        <f t="shared" si="2"/>
        <v/>
      </c>
    </row>
    <row r="68" spans="2:9">
      <c r="D68" s="42" t="s">
        <v>236</v>
      </c>
      <c r="E68" s="42"/>
      <c r="F68" s="47">
        <f>IF(F20="Tiesa",1,0)</f>
        <v>1</v>
      </c>
      <c r="G68" s="47">
        <f>IF(G20="Tiesa",1,0)</f>
        <v>0</v>
      </c>
      <c r="H68" s="42" t="str">
        <f t="shared" si="2"/>
        <v>A5</v>
      </c>
      <c r="I68" s="42" t="str">
        <f>IF(G68=1,$D68,"")</f>
        <v/>
      </c>
    </row>
    <row r="69" spans="2:9">
      <c r="D69" s="42"/>
      <c r="E69" s="42"/>
      <c r="F69" s="47">
        <f>SUM(F64:F68)</f>
        <v>1</v>
      </c>
      <c r="G69" s="47">
        <f>SUM(G64:G68)</f>
        <v>0</v>
      </c>
      <c r="H69" s="42"/>
      <c r="I69" s="42"/>
    </row>
    <row r="70" spans="2:9">
      <c r="D70" s="42"/>
      <c r="E70" s="42"/>
      <c r="F70" s="42"/>
      <c r="G70" s="42"/>
      <c r="H70" s="42"/>
      <c r="I70" s="42"/>
    </row>
  </sheetData>
  <mergeCells count="45">
    <mergeCell ref="F61:G61"/>
    <mergeCell ref="F62:G62"/>
    <mergeCell ref="F63:G63"/>
    <mergeCell ref="F38:G38"/>
    <mergeCell ref="F48:G48"/>
    <mergeCell ref="F49:G49"/>
    <mergeCell ref="F50:G50"/>
    <mergeCell ref="F47:G47"/>
    <mergeCell ref="F41:G41"/>
    <mergeCell ref="F42:G42"/>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C28:C32"/>
    <mergeCell ref="B23:B26"/>
    <mergeCell ref="D23:E26"/>
    <mergeCell ref="C23:C24"/>
    <mergeCell ref="C25:C26"/>
    <mergeCell ref="B28:B34"/>
    <mergeCell ref="C33:C34"/>
    <mergeCell ref="C20:C21"/>
    <mergeCell ref="D20:E22"/>
    <mergeCell ref="B20:B22"/>
    <mergeCell ref="C17:C18"/>
    <mergeCell ref="F27:G27"/>
    <mergeCell ref="D27:E27"/>
    <mergeCell ref="B6:B7"/>
    <mergeCell ref="D6:E7"/>
    <mergeCell ref="F6:G6"/>
    <mergeCell ref="F7:G7"/>
    <mergeCell ref="B17:B19"/>
    <mergeCell ref="D17:E1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theme="7"/>
  </sheetPr>
  <dimension ref="A1:H42"/>
  <sheetViews>
    <sheetView showGridLines="0" showRowColHeaders="0" zoomScaleNormal="100" workbookViewId="0"/>
  </sheetViews>
  <sheetFormatPr defaultColWidth="10" defaultRowHeight="13.8"/>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c r="B1" s="440" t="s">
        <v>19</v>
      </c>
      <c r="C1" s="440"/>
      <c r="D1" s="2"/>
    </row>
    <row r="2" spans="1:8" ht="14.4" thickBot="1">
      <c r="A2" s="8" t="s">
        <v>20</v>
      </c>
    </row>
    <row r="3" spans="1:8" ht="38.25" customHeight="1" thickTop="1" thickBot="1">
      <c r="B3" s="411" t="s">
        <v>279</v>
      </c>
      <c r="C3" s="412"/>
      <c r="D3" s="412"/>
      <c r="E3" s="412"/>
      <c r="F3" s="413"/>
    </row>
    <row r="4" spans="1:8" ht="28.8" thickBot="1">
      <c r="B4" s="191" t="s">
        <v>291</v>
      </c>
      <c r="C4" s="192" t="s">
        <v>292</v>
      </c>
      <c r="D4" s="192" t="s">
        <v>293</v>
      </c>
      <c r="E4" s="458" t="s">
        <v>294</v>
      </c>
      <c r="F4" s="459"/>
    </row>
    <row r="5" spans="1:8" ht="30" customHeight="1" thickBot="1">
      <c r="B5" s="416" t="s">
        <v>156</v>
      </c>
      <c r="C5" s="417"/>
      <c r="D5" s="417"/>
      <c r="E5" s="159" t="s">
        <v>23</v>
      </c>
      <c r="F5" s="152" t="s">
        <v>24</v>
      </c>
    </row>
    <row r="6" spans="1:8" ht="104.25" customHeight="1">
      <c r="B6" s="105" t="s">
        <v>287</v>
      </c>
      <c r="C6" s="268" t="s">
        <v>237</v>
      </c>
      <c r="D6" s="456" t="s">
        <v>238</v>
      </c>
      <c r="E6" s="113"/>
      <c r="F6" s="134" t="s">
        <v>273</v>
      </c>
    </row>
    <row r="7" spans="1:8" ht="61.5" customHeight="1" thickBot="1">
      <c r="B7" s="105"/>
      <c r="C7" s="102" t="s">
        <v>239</v>
      </c>
      <c r="D7" s="457"/>
      <c r="E7" s="114"/>
      <c r="F7" s="133" t="s">
        <v>272</v>
      </c>
      <c r="H7" s="23"/>
    </row>
    <row r="8" spans="1:8" ht="34.5" customHeight="1" thickBot="1">
      <c r="B8" s="106"/>
      <c r="C8" s="461" t="s">
        <v>286</v>
      </c>
      <c r="D8" s="461"/>
      <c r="E8" s="160"/>
      <c r="F8" s="153"/>
    </row>
    <row r="9" spans="1:8" ht="29.25" customHeight="1">
      <c r="A9" s="63"/>
      <c r="B9" s="408" t="s">
        <v>288</v>
      </c>
      <c r="C9" s="476" t="s">
        <v>259</v>
      </c>
      <c r="D9" s="456" t="s">
        <v>240</v>
      </c>
      <c r="E9" s="161" t="str">
        <f>IF(E32&gt;=0,"Tiesa","Netiesa")</f>
        <v>Tiesa</v>
      </c>
      <c r="F9" s="139" t="str">
        <f>IF(F32+eps&gt;=0,"Tiesa","Netiesa")</f>
        <v>Tiesa</v>
      </c>
    </row>
    <row r="10" spans="1:8" ht="29.25" customHeight="1">
      <c r="A10" s="63"/>
      <c r="B10" s="408"/>
      <c r="C10" s="477"/>
      <c r="D10" s="460"/>
      <c r="E10" s="115" t="str">
        <f>CONCATENATE(FIXED(E32,1),IF(E32&gt;= 0," ≥ "," &lt; "),FIXED(0,1))</f>
        <v>0,3 ≥ 0,0</v>
      </c>
      <c r="F10" s="154" t="str">
        <f>CONCATENATE(FIXED(F32,1),IF(F32=eps&gt;= 0," ≥ "," &lt; "),FIXED(0,1))</f>
        <v>0,3 ≥ 0,0</v>
      </c>
    </row>
    <row r="11" spans="1:8" ht="35.25" customHeight="1" thickBot="1">
      <c r="A11" s="63"/>
      <c r="B11" s="408"/>
      <c r="C11" s="104" t="s">
        <v>241</v>
      </c>
      <c r="D11" s="457"/>
      <c r="E11" s="114" t="str">
        <f>IF(E9="Tiesa","True","False")</f>
        <v>True</v>
      </c>
      <c r="F11" s="141" t="str">
        <f>IF(F9="Tiesa","True","False")</f>
        <v>True</v>
      </c>
    </row>
    <row r="12" spans="1:8" ht="21.75" customHeight="1">
      <c r="A12" s="63"/>
      <c r="B12" s="408"/>
      <c r="C12" s="462" t="s">
        <v>242</v>
      </c>
      <c r="D12" s="463"/>
      <c r="E12" s="162" t="str">
        <f>IF(E9="Netiesa","Netenkinama","Tenkinama")</f>
        <v>Tenkinama</v>
      </c>
      <c r="F12" s="155" t="str">
        <f>IF(F9="Netiesa","Netenkinama","Tenkinama")</f>
        <v>Tenkinama</v>
      </c>
    </row>
    <row r="13" spans="1:8" ht="21.75" customHeight="1" thickBot="1">
      <c r="A13" s="63"/>
      <c r="B13" s="409"/>
      <c r="C13" s="478" t="s">
        <v>243</v>
      </c>
      <c r="D13" s="479"/>
      <c r="E13" s="163" t="str">
        <f>IF(E12="Tenkinama","Valid","Invalid ")</f>
        <v>Valid</v>
      </c>
      <c r="F13" s="156" t="str">
        <f>IF(F12="Tenkinama","Valid","Invalid ")</f>
        <v>Valid</v>
      </c>
    </row>
    <row r="14" spans="1:8" ht="17.399999999999999" customHeight="1">
      <c r="A14" s="63"/>
      <c r="B14" s="408" t="s">
        <v>289</v>
      </c>
      <c r="C14" s="480" t="s">
        <v>244</v>
      </c>
      <c r="D14" s="388" t="s">
        <v>245</v>
      </c>
      <c r="E14" s="161" t="str">
        <f>IF(E29+eps&lt;0, "Tiesa","Netiesa")</f>
        <v>Tiesa</v>
      </c>
      <c r="F14" s="139" t="str">
        <f>IF(F29+eps&lt;0,"Tiesa","Netiesa")</f>
        <v>Netiesa</v>
      </c>
    </row>
    <row r="15" spans="1:8" ht="38.25" customHeight="1">
      <c r="A15" s="63"/>
      <c r="B15" s="408"/>
      <c r="C15" s="481"/>
      <c r="D15" s="482"/>
      <c r="E15" s="164" t="str">
        <f>CONCATENATE(FIXED(E29,1),IF(E29+eps&lt;0," &lt; "," ≥ "),FIXED(0,1))</f>
        <v>-0,4 &lt; 0,0</v>
      </c>
      <c r="F15" s="140" t="str">
        <f>CONCATENATE(FIXED(F29,1),IF(F29+eps&lt;0," &lt; "," ≥ "),FIXED(0,1))</f>
        <v>1,3 ≥ 0,0</v>
      </c>
    </row>
    <row r="16" spans="1:8" ht="21" customHeight="1" thickBot="1">
      <c r="A16" s="63"/>
      <c r="B16" s="408"/>
      <c r="C16" s="481"/>
      <c r="D16" s="482"/>
      <c r="E16" s="165" t="str">
        <f>IF(E14="Tiesa","True","False")</f>
        <v>True</v>
      </c>
      <c r="F16" s="157" t="str">
        <f>IF(F14="Tiesa","True","False")</f>
        <v>False</v>
      </c>
    </row>
    <row r="17" spans="1:8" ht="18.75" customHeight="1">
      <c r="A17" s="63"/>
      <c r="B17" s="408"/>
      <c r="C17" s="485" t="s">
        <v>246</v>
      </c>
      <c r="D17" s="482" t="s">
        <v>247</v>
      </c>
      <c r="E17" s="166" t="str">
        <f>IF(OR((E29&gt;=0)*(E30&gt;=0),(E29&gt;=0)*(E30&gt;=E31)),"Tiesa","Netiesa")</f>
        <v>Netiesa</v>
      </c>
      <c r="F17" s="139" t="str">
        <f>IF(OR((F29&gt;=0)*(F30&gt;=0),(F29&gt;=0)*(F30&gt;=F31)),"Tiesa","Netiesa")</f>
        <v>Tiesa</v>
      </c>
    </row>
    <row r="18" spans="1:8" ht="47.25" customHeight="1">
      <c r="A18" s="63"/>
      <c r="B18" s="408"/>
      <c r="C18" s="485"/>
      <c r="D18" s="482"/>
      <c r="E18" s="115" t="str">
        <f>CONCATENATE(FIXED(E29,1),,IF(E29&lt;0," &lt; "," ≥ "),FIXED(0,1), " &amp;
","(",
 FIXED(E30,1),IF(E30&gt;=E31," ≥ "," &lt; "), FIXED(E31,1), " arba / or ",FIXED(E30,1),IF(E30&lt;0," &lt; "," ≥ "),FIXED(0,1),")")</f>
        <v>-0,4 &lt; 0,0 &amp;
(1,1 ≥ 0,8 arba / or 1,1 ≥ 0,0)</v>
      </c>
      <c r="F18" s="140" t="str">
        <f>CONCATENATE(FIXED(F29,1),,IF(F29&lt;0," &lt; "," ≥ "),FIXED(0,1), " &amp;
","(", FIXED(F30,1),IF(F30&gt;=F31," ≥ "," &lt; "), FIXED(F31,1), " arba / or ",FIXED(F30,1),IF(F30&lt;0," &lt; "," ≥ "),FIXED(0,1),")")</f>
        <v>1,3 ≥ 0,0 &amp;
(1,0 ≥ 0,7 arba / or 1,0 ≥ 0,0)</v>
      </c>
    </row>
    <row r="19" spans="1:8" ht="18" customHeight="1" thickBot="1">
      <c r="A19" s="63"/>
      <c r="B19" s="408"/>
      <c r="C19" s="486"/>
      <c r="D19" s="487"/>
      <c r="E19" s="114" t="str">
        <f>IF(E17="Tiesa","True","False")</f>
        <v>False</v>
      </c>
      <c r="F19" s="133" t="str">
        <f>IF(F17="Tiesa","True","False")</f>
        <v>True</v>
      </c>
    </row>
    <row r="20" spans="1:8" ht="21" customHeight="1">
      <c r="A20" s="63"/>
      <c r="B20" s="408"/>
      <c r="C20" s="464" t="s">
        <v>43</v>
      </c>
      <c r="D20" s="465"/>
      <c r="E20" s="162" t="str">
        <f>IF(OR(E14="Tiesa",E17="Tiesa"),"Tenkinama","Netenkinama")</f>
        <v>Tenkinama</v>
      </c>
      <c r="F20" s="155" t="str">
        <f>IF(OR(F14="Tiesa",F17="Tiesa"),"Tenkinama","Netenkinama")</f>
        <v>Tenkinama</v>
      </c>
    </row>
    <row r="21" spans="1:8" ht="21" customHeight="1" thickBot="1">
      <c r="A21" s="63"/>
      <c r="B21" s="409"/>
      <c r="C21" s="483" t="s">
        <v>248</v>
      </c>
      <c r="D21" s="484"/>
      <c r="E21" s="163" t="str">
        <f>IF(E20="Tenkinama","Valid","Invalid ")</f>
        <v>Valid</v>
      </c>
      <c r="F21" s="156" t="str">
        <f>IF(F20="Tenkinama","Valid","Invalid ")</f>
        <v>Valid</v>
      </c>
    </row>
    <row r="22" spans="1:8" ht="101.25" customHeight="1" thickBot="1">
      <c r="A22" s="63"/>
      <c r="B22" s="470" t="s">
        <v>290</v>
      </c>
      <c r="C22" s="269" t="s">
        <v>249</v>
      </c>
      <c r="D22" s="103" t="s">
        <v>250</v>
      </c>
      <c r="E22" s="113"/>
      <c r="F22" s="134" t="str">
        <f>F6</f>
        <v>Savivaldybių biudžetų atitiktis fiskalinės drausmės taisyklėms bus vertinama 2023 m. birželio mėn.</v>
      </c>
    </row>
    <row r="23" spans="1:8" ht="64.5" customHeight="1" thickBot="1">
      <c r="A23" s="63"/>
      <c r="B23" s="471"/>
      <c r="C23" s="490" t="s">
        <v>251</v>
      </c>
      <c r="D23" s="482" t="s">
        <v>252</v>
      </c>
      <c r="E23" s="468"/>
      <c r="F23" s="466" t="str">
        <f>F7</f>
        <v>Will be assessed in June 2023</v>
      </c>
    </row>
    <row r="24" spans="1:8" ht="42" customHeight="1" thickBot="1">
      <c r="A24" s="63"/>
      <c r="B24" s="471"/>
      <c r="C24" s="491"/>
      <c r="D24" s="487"/>
      <c r="E24" s="469"/>
      <c r="F24" s="467"/>
    </row>
    <row r="25" spans="1:8" ht="19.5" customHeight="1" thickBot="1">
      <c r="A25" s="63"/>
      <c r="B25" s="472"/>
      <c r="C25" s="488" t="s">
        <v>45</v>
      </c>
      <c r="D25" s="489"/>
      <c r="E25" s="167"/>
      <c r="F25" s="134"/>
    </row>
    <row r="26" spans="1:8" ht="19.5" customHeight="1" thickBot="1">
      <c r="A26" s="63"/>
      <c r="B26" s="473"/>
      <c r="C26" s="474" t="s">
        <v>46</v>
      </c>
      <c r="D26" s="475"/>
      <c r="E26" s="168"/>
      <c r="F26" s="158"/>
    </row>
    <row r="27" spans="1:8" ht="15" thickTop="1" thickBot="1">
      <c r="B27" s="19"/>
      <c r="C27" s="226" t="s">
        <v>253</v>
      </c>
      <c r="D27" s="270"/>
      <c r="E27" s="270"/>
      <c r="F27" s="270"/>
      <c r="H27" s="27"/>
    </row>
    <row r="28" spans="1:8" ht="14.4" thickBot="1">
      <c r="B28" s="19"/>
      <c r="C28" s="229" t="s">
        <v>254</v>
      </c>
      <c r="D28" s="230" t="s">
        <v>176</v>
      </c>
      <c r="E28" s="384">
        <f>metai</f>
        <v>2022</v>
      </c>
      <c r="F28" s="385"/>
      <c r="H28" s="27"/>
    </row>
    <row r="29" spans="1:8" ht="14.4" thickBot="1">
      <c r="B29" s="19"/>
      <c r="C29" s="19"/>
      <c r="D29" s="230" t="s">
        <v>180</v>
      </c>
      <c r="E29" s="271">
        <f>'2. Macro'!M20</f>
        <v>-0.41776906180451823</v>
      </c>
      <c r="F29" s="253">
        <f>'2. Macro'!M19</f>
        <v>1.2961162214431221</v>
      </c>
      <c r="H29" s="27"/>
    </row>
    <row r="30" spans="1:8" ht="16.8" thickBot="1">
      <c r="B30" s="19"/>
      <c r="C30" s="19"/>
      <c r="D30" s="230" t="s">
        <v>255</v>
      </c>
      <c r="E30" s="271">
        <f>'3. GGbudget'!F31</f>
        <v>1.1118136126590248</v>
      </c>
      <c r="F30" s="253">
        <f>'3. GGbudget'!H31</f>
        <v>0.95585005188348959</v>
      </c>
      <c r="H30" s="27"/>
    </row>
    <row r="31" spans="1:8" ht="16.8" thickBot="1">
      <c r="B31" s="19"/>
      <c r="C31" s="19"/>
      <c r="D31" s="230" t="s">
        <v>256</v>
      </c>
      <c r="E31" s="271">
        <f>'3. GGbudget'!E31</f>
        <v>0.82835431453733832</v>
      </c>
      <c r="F31" s="253">
        <f>'3. GGbudget'!G31</f>
        <v>0.69710790525429567</v>
      </c>
      <c r="G31" s="13"/>
      <c r="H31" s="27"/>
    </row>
    <row r="32" spans="1:8" ht="16.8" thickBot="1">
      <c r="B32" s="19"/>
      <c r="C32" s="19"/>
      <c r="D32" s="230" t="s">
        <v>257</v>
      </c>
      <c r="E32" s="271">
        <f>'3. GGbudget'!F32</f>
        <v>0.34542857821541068</v>
      </c>
      <c r="F32" s="253">
        <f>'3. GGbudget'!H32</f>
        <v>0.26658985518601924</v>
      </c>
      <c r="H32" s="6"/>
    </row>
    <row r="33" spans="2:8" ht="15" thickBot="1">
      <c r="B33" s="19"/>
      <c r="C33" s="19"/>
      <c r="D33" s="230" t="s">
        <v>47</v>
      </c>
      <c r="E33" s="230"/>
      <c r="F33" s="263"/>
      <c r="G33" s="38" t="s">
        <v>258</v>
      </c>
      <c r="H33" s="6"/>
    </row>
    <row r="34" spans="2:8" ht="15" thickBot="1">
      <c r="B34" s="19"/>
      <c r="C34" s="19"/>
      <c r="D34" s="230" t="s">
        <v>49</v>
      </c>
      <c r="E34" s="382" t="s">
        <v>23</v>
      </c>
      <c r="F34" s="382"/>
      <c r="G34" s="38" t="s">
        <v>50</v>
      </c>
      <c r="H34" s="6"/>
    </row>
    <row r="35" spans="2:8" ht="15" thickBot="1">
      <c r="B35" s="19"/>
      <c r="C35" s="19"/>
      <c r="D35" s="230" t="s">
        <v>51</v>
      </c>
      <c r="E35" s="376" t="s">
        <v>24</v>
      </c>
      <c r="F35" s="376"/>
      <c r="G35" s="38" t="s">
        <v>52</v>
      </c>
    </row>
    <row r="36" spans="2:8">
      <c r="B36" s="19"/>
      <c r="C36" s="19"/>
      <c r="D36" s="19"/>
      <c r="E36" s="230"/>
      <c r="F36" s="19"/>
    </row>
    <row r="37" spans="2:8">
      <c r="B37" s="19"/>
      <c r="C37" s="19"/>
      <c r="D37" s="19"/>
      <c r="E37" s="230"/>
      <c r="F37" s="57"/>
    </row>
    <row r="38" spans="2:8">
      <c r="B38" s="19"/>
      <c r="C38" s="19"/>
      <c r="D38" s="19"/>
      <c r="E38" s="230"/>
      <c r="F38" s="57"/>
    </row>
    <row r="39" spans="2:8">
      <c r="B39" s="19"/>
      <c r="C39" s="19"/>
      <c r="D39" s="19"/>
      <c r="E39" s="19"/>
      <c r="F39" s="19"/>
    </row>
    <row r="40" spans="2:8">
      <c r="B40" s="19"/>
      <c r="C40" s="19"/>
      <c r="D40" s="19"/>
      <c r="E40" s="19"/>
      <c r="F40" s="19"/>
    </row>
    <row r="41" spans="2:8">
      <c r="B41" s="19"/>
      <c r="C41" s="19"/>
      <c r="D41" s="19"/>
      <c r="E41" s="19"/>
      <c r="F41" s="19"/>
    </row>
    <row r="42" spans="2:8">
      <c r="B42" s="19"/>
      <c r="C42" s="19"/>
      <c r="D42" s="19"/>
      <c r="E42" s="19"/>
      <c r="F42" s="19"/>
    </row>
  </sheetData>
  <mergeCells count="28">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 ref="E35:F35"/>
    <mergeCell ref="D9:D11"/>
    <mergeCell ref="C8:D8"/>
    <mergeCell ref="C12:D12"/>
    <mergeCell ref="C20:D20"/>
    <mergeCell ref="E34:F34"/>
    <mergeCell ref="E28:F28"/>
    <mergeCell ref="F23:F24"/>
    <mergeCell ref="E23:E24"/>
    <mergeCell ref="D6:D7"/>
    <mergeCell ref="B1:C1"/>
    <mergeCell ref="B3:F3"/>
    <mergeCell ref="E4:F4"/>
    <mergeCell ref="B5:D5"/>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749F2-2640-4841-B990-C8D8EE8429C4}">
  <sheetPr>
    <tabColor theme="1" tint="0.499984740745262"/>
  </sheetPr>
  <dimension ref="A1:AB39"/>
  <sheetViews>
    <sheetView showGridLines="0" showRowColHeaders="0" zoomScale="70" zoomScaleNormal="70" workbookViewId="0"/>
  </sheetViews>
  <sheetFormatPr defaultColWidth="10" defaultRowHeight="13.8"/>
  <cols>
    <col min="1" max="1" width="3.6640625" style="1" customWidth="1"/>
    <col min="2" max="2" width="58" style="1" customWidth="1"/>
    <col min="3" max="4" width="10.5546875" style="1" customWidth="1"/>
    <col min="5" max="21" width="10.88671875" style="1" customWidth="1"/>
    <col min="22" max="22" width="11.6640625" style="1" customWidth="1"/>
    <col min="23" max="23" width="12.44140625" style="1" customWidth="1"/>
    <col min="24" max="16384" width="10" style="1"/>
  </cols>
  <sheetData>
    <row r="1" spans="1:28">
      <c r="A1" s="235"/>
      <c r="B1" s="410" t="s">
        <v>19</v>
      </c>
      <c r="C1" s="410"/>
      <c r="D1" s="274"/>
      <c r="E1" s="274"/>
      <c r="F1" s="274"/>
      <c r="G1" s="274"/>
      <c r="H1" s="274"/>
      <c r="I1" s="274"/>
      <c r="J1" s="274"/>
      <c r="K1" s="274"/>
      <c r="L1" s="274"/>
      <c r="M1" s="274"/>
      <c r="N1" s="274"/>
      <c r="O1" s="274"/>
      <c r="P1" s="274"/>
      <c r="Q1" s="274"/>
      <c r="R1" s="274"/>
      <c r="S1" s="274"/>
      <c r="T1" s="274"/>
      <c r="U1" s="274"/>
      <c r="V1" s="274"/>
      <c r="W1" s="274"/>
    </row>
    <row r="2" spans="1:28" ht="14.4" thickBot="1">
      <c r="A2" s="236" t="s">
        <v>20</v>
      </c>
      <c r="B2" s="19"/>
      <c r="C2" s="19"/>
      <c r="D2" s="19"/>
      <c r="E2" s="19"/>
      <c r="F2" s="19"/>
      <c r="G2" s="19"/>
      <c r="H2" s="19"/>
      <c r="I2" s="19"/>
      <c r="J2" s="19"/>
      <c r="K2" s="19"/>
      <c r="L2" s="19"/>
      <c r="M2" s="19"/>
      <c r="N2" s="19"/>
      <c r="O2" s="19"/>
      <c r="P2" s="19"/>
      <c r="Q2" s="19"/>
      <c r="R2" s="19"/>
      <c r="S2" s="19"/>
      <c r="T2" s="19"/>
      <c r="U2" s="19"/>
      <c r="V2" s="19"/>
      <c r="W2" s="19"/>
    </row>
    <row r="3" spans="1:28" ht="49.5" customHeight="1" thickBot="1">
      <c r="A3" s="228"/>
      <c r="B3" s="500" t="s">
        <v>313</v>
      </c>
      <c r="C3" s="501"/>
      <c r="D3" s="501"/>
      <c r="E3" s="501"/>
      <c r="F3" s="501"/>
      <c r="G3" s="501"/>
      <c r="H3" s="501"/>
      <c r="I3" s="501"/>
      <c r="J3" s="501"/>
      <c r="K3" s="501"/>
      <c r="L3" s="501"/>
      <c r="M3" s="501"/>
      <c r="N3" s="501"/>
      <c r="O3" s="501"/>
      <c r="P3" s="501"/>
      <c r="Q3" s="501"/>
      <c r="R3" s="501"/>
      <c r="S3" s="501"/>
      <c r="T3" s="501"/>
      <c r="U3" s="501"/>
      <c r="V3" s="501"/>
      <c r="W3" s="502"/>
    </row>
    <row r="4" spans="1:28" ht="41.25" customHeight="1" thickBot="1">
      <c r="A4" s="19"/>
      <c r="B4" s="109" t="s">
        <v>314</v>
      </c>
      <c r="C4" s="277"/>
      <c r="D4" s="503">
        <v>2016</v>
      </c>
      <c r="E4" s="505"/>
      <c r="F4" s="503">
        <v>2017</v>
      </c>
      <c r="G4" s="504"/>
      <c r="H4" s="503">
        <v>2018</v>
      </c>
      <c r="I4" s="504"/>
      <c r="J4" s="505"/>
      <c r="K4" s="503">
        <v>2019</v>
      </c>
      <c r="L4" s="504"/>
      <c r="M4" s="505"/>
      <c r="N4" s="503">
        <v>2020</v>
      </c>
      <c r="O4" s="504"/>
      <c r="P4" s="505"/>
      <c r="Q4" s="503">
        <v>2021</v>
      </c>
      <c r="R4" s="504"/>
      <c r="S4" s="505"/>
      <c r="T4" s="503">
        <v>2022</v>
      </c>
      <c r="U4" s="504"/>
      <c r="V4" s="505"/>
      <c r="W4" s="277">
        <v>2023</v>
      </c>
    </row>
    <row r="5" spans="1:28" ht="61.2" customHeight="1" thickBot="1">
      <c r="A5" s="19"/>
      <c r="B5" s="275"/>
      <c r="C5" s="282" t="s">
        <v>337</v>
      </c>
      <c r="D5" s="278" t="s">
        <v>315</v>
      </c>
      <c r="E5" s="278" t="s">
        <v>317</v>
      </c>
      <c r="F5" s="278" t="s">
        <v>315</v>
      </c>
      <c r="G5" s="278" t="s">
        <v>316</v>
      </c>
      <c r="H5" s="278" t="s">
        <v>315</v>
      </c>
      <c r="I5" s="278" t="s">
        <v>316</v>
      </c>
      <c r="J5" s="278" t="s">
        <v>317</v>
      </c>
      <c r="K5" s="278" t="s">
        <v>315</v>
      </c>
      <c r="L5" s="278" t="s">
        <v>316</v>
      </c>
      <c r="M5" s="278" t="s">
        <v>317</v>
      </c>
      <c r="N5" s="278" t="s">
        <v>315</v>
      </c>
      <c r="O5" s="278" t="s">
        <v>316</v>
      </c>
      <c r="P5" s="278" t="s">
        <v>317</v>
      </c>
      <c r="Q5" s="278" t="s">
        <v>315</v>
      </c>
      <c r="R5" s="278" t="s">
        <v>316</v>
      </c>
      <c r="S5" s="278" t="s">
        <v>317</v>
      </c>
      <c r="T5" s="278" t="s">
        <v>315</v>
      </c>
      <c r="U5" s="278" t="s">
        <v>331</v>
      </c>
      <c r="V5" s="278" t="s">
        <v>332</v>
      </c>
      <c r="W5" s="278" t="s">
        <v>333</v>
      </c>
    </row>
    <row r="6" spans="1:28" ht="25.2" customHeight="1" thickBot="1">
      <c r="A6" s="19"/>
      <c r="B6" s="310" t="s">
        <v>338</v>
      </c>
      <c r="C6" s="306"/>
      <c r="D6" s="308">
        <v>42321</v>
      </c>
      <c r="E6" s="308">
        <v>43054</v>
      </c>
      <c r="F6" s="308">
        <v>42689</v>
      </c>
      <c r="G6" s="308">
        <v>43054</v>
      </c>
      <c r="H6" s="308">
        <v>43054</v>
      </c>
      <c r="I6" s="308">
        <v>43412</v>
      </c>
      <c r="J6" s="308">
        <v>43599</v>
      </c>
      <c r="K6" s="308">
        <v>43412</v>
      </c>
      <c r="L6" s="308">
        <v>43781</v>
      </c>
      <c r="M6" s="308">
        <v>43966</v>
      </c>
      <c r="N6" s="308">
        <v>43781</v>
      </c>
      <c r="O6" s="308">
        <v>44145</v>
      </c>
      <c r="P6" s="308">
        <v>44328</v>
      </c>
      <c r="Q6" s="308">
        <v>44145</v>
      </c>
      <c r="R6" s="308">
        <v>44508</v>
      </c>
      <c r="S6" s="308">
        <v>44686</v>
      </c>
      <c r="T6" s="309">
        <v>44686</v>
      </c>
      <c r="U6" s="309">
        <f>W6</f>
        <v>44862</v>
      </c>
      <c r="V6" s="309">
        <v>45054</v>
      </c>
      <c r="W6" s="307">
        <v>44862</v>
      </c>
      <c r="Z6" s="12"/>
      <c r="AB6" s="12"/>
    </row>
    <row r="7" spans="1:28" ht="14.25" customHeight="1">
      <c r="A7" s="19"/>
      <c r="B7" s="286" t="s">
        <v>157</v>
      </c>
      <c r="C7" s="231"/>
      <c r="D7" s="494" t="str">
        <f>"Ne"</f>
        <v>Ne</v>
      </c>
      <c r="E7" s="495"/>
      <c r="F7" s="494" t="str">
        <f>"Ne"</f>
        <v>Ne</v>
      </c>
      <c r="G7" s="495"/>
      <c r="H7" s="494" t="str">
        <f>"Ne"</f>
        <v>Ne</v>
      </c>
      <c r="I7" s="495"/>
      <c r="J7" s="496"/>
      <c r="K7" s="494" t="str">
        <f>"Ne"</f>
        <v>Ne</v>
      </c>
      <c r="L7" s="495"/>
      <c r="M7" s="496"/>
      <c r="N7" s="494" t="str">
        <f>"Taip"</f>
        <v>Taip</v>
      </c>
      <c r="O7" s="495"/>
      <c r="P7" s="496"/>
      <c r="Q7" s="494" t="str">
        <f>"Taip"</f>
        <v>Taip</v>
      </c>
      <c r="R7" s="495"/>
      <c r="S7" s="496"/>
      <c r="T7" s="494" t="str">
        <f>"Taip"</f>
        <v>Taip</v>
      </c>
      <c r="U7" s="495"/>
      <c r="V7" s="496"/>
      <c r="W7" s="103" t="str">
        <f>"Taip"</f>
        <v>Taip</v>
      </c>
    </row>
    <row r="8" spans="1:28" ht="14.25" customHeight="1" thickBot="1">
      <c r="A8" s="19"/>
      <c r="B8" s="287" t="s">
        <v>29</v>
      </c>
      <c r="C8" s="232"/>
      <c r="D8" s="497" t="str">
        <f>"No"</f>
        <v>No</v>
      </c>
      <c r="E8" s="498"/>
      <c r="F8" s="497" t="str">
        <f>"No"</f>
        <v>No</v>
      </c>
      <c r="G8" s="498"/>
      <c r="H8" s="497" t="str">
        <f>"No"</f>
        <v>No</v>
      </c>
      <c r="I8" s="498"/>
      <c r="J8" s="499"/>
      <c r="K8" s="497" t="str">
        <f>"No"</f>
        <v>No</v>
      </c>
      <c r="L8" s="498"/>
      <c r="M8" s="499"/>
      <c r="N8" s="497" t="str">
        <f>"Yes"</f>
        <v>Yes</v>
      </c>
      <c r="O8" s="498"/>
      <c r="P8" s="499"/>
      <c r="Q8" s="497" t="str">
        <f>"Yes"</f>
        <v>Yes</v>
      </c>
      <c r="R8" s="498"/>
      <c r="S8" s="499"/>
      <c r="T8" s="497" t="str">
        <f>"Yes"</f>
        <v>Yes</v>
      </c>
      <c r="U8" s="498"/>
      <c r="V8" s="499"/>
      <c r="W8" s="276" t="str">
        <f>"Yes"</f>
        <v>Yes</v>
      </c>
    </row>
    <row r="9" spans="1:28" ht="14.25" customHeight="1" thickBot="1">
      <c r="A9" s="19"/>
      <c r="B9" s="288" t="s">
        <v>321</v>
      </c>
      <c r="C9" s="280" t="s">
        <v>23</v>
      </c>
      <c r="D9" s="317">
        <v>-0.3</v>
      </c>
      <c r="E9" s="317">
        <v>0.6</v>
      </c>
      <c r="F9" s="317">
        <v>1.4</v>
      </c>
      <c r="G9" s="317">
        <v>1.7</v>
      </c>
      <c r="H9" s="317">
        <v>1.6</v>
      </c>
      <c r="I9" s="317">
        <v>2.4</v>
      </c>
      <c r="J9" s="317">
        <v>2.9</v>
      </c>
      <c r="K9" s="317">
        <v>1.5</v>
      </c>
      <c r="L9" s="317">
        <v>3.5</v>
      </c>
      <c r="M9" s="317">
        <v>4</v>
      </c>
      <c r="N9" s="317">
        <v>2.2000000000000002</v>
      </c>
      <c r="O9" s="317">
        <v>-1.1000000000000001</v>
      </c>
      <c r="P9" s="317">
        <v>-0.6</v>
      </c>
      <c r="Q9" s="317">
        <v>-1.3</v>
      </c>
      <c r="R9" s="317">
        <v>-0.7</v>
      </c>
      <c r="S9" s="317">
        <v>0.4</v>
      </c>
      <c r="T9" s="317">
        <v>-0.7</v>
      </c>
      <c r="U9" s="317">
        <v>-1</v>
      </c>
      <c r="V9" s="317">
        <v>-0.4</v>
      </c>
      <c r="W9" s="317">
        <v>-2.4</v>
      </c>
    </row>
    <row r="10" spans="1:28" ht="14.25" customHeight="1" thickBot="1">
      <c r="A10" s="19"/>
      <c r="B10" s="289" t="s">
        <v>322</v>
      </c>
      <c r="C10" s="281" t="s">
        <v>318</v>
      </c>
      <c r="D10" s="318">
        <v>0.9</v>
      </c>
      <c r="E10" s="318">
        <v>0.6</v>
      </c>
      <c r="F10" s="318">
        <v>0.9</v>
      </c>
      <c r="G10" s="318">
        <v>1.6</v>
      </c>
      <c r="H10" s="318">
        <v>2.4</v>
      </c>
      <c r="I10" s="318">
        <v>2.2999999999999998</v>
      </c>
      <c r="J10" s="318">
        <v>1.8</v>
      </c>
      <c r="K10" s="318">
        <v>2.2999999999999998</v>
      </c>
      <c r="L10" s="318">
        <v>3.4</v>
      </c>
      <c r="M10" s="318">
        <v>3.5</v>
      </c>
      <c r="N10" s="318">
        <v>2.7</v>
      </c>
      <c r="O10" s="318">
        <v>-0.6</v>
      </c>
      <c r="P10" s="318">
        <v>-0.35</v>
      </c>
      <c r="Q10" s="318">
        <v>-0.4</v>
      </c>
      <c r="R10" s="318">
        <v>0.3</v>
      </c>
      <c r="S10" s="318">
        <v>2.2000000000000002</v>
      </c>
      <c r="T10" s="318">
        <v>0.7</v>
      </c>
      <c r="U10" s="318">
        <v>0.3</v>
      </c>
      <c r="V10" s="318">
        <v>1.3</v>
      </c>
      <c r="W10" s="318">
        <v>-1.4</v>
      </c>
      <c r="Z10" s="12"/>
      <c r="AB10" s="12"/>
    </row>
    <row r="11" spans="1:28" ht="19.5" customHeight="1" thickBot="1">
      <c r="A11" s="19"/>
      <c r="B11" s="283" t="s">
        <v>324</v>
      </c>
      <c r="C11" s="280" t="s">
        <v>23</v>
      </c>
      <c r="D11" s="290"/>
      <c r="E11" s="290"/>
      <c r="F11" s="291"/>
      <c r="G11" s="303" t="s">
        <v>335</v>
      </c>
      <c r="H11" s="290"/>
      <c r="I11" s="290"/>
      <c r="J11" s="290"/>
      <c r="K11" s="290"/>
      <c r="L11" s="292"/>
      <c r="M11" s="292"/>
      <c r="N11" s="290"/>
      <c r="O11" s="293"/>
      <c r="P11" s="293"/>
      <c r="Q11" s="293"/>
      <c r="R11" s="293"/>
      <c r="S11" s="293"/>
      <c r="T11" s="293"/>
      <c r="U11" s="293"/>
      <c r="V11" s="293"/>
      <c r="W11" s="294"/>
    </row>
    <row r="12" spans="1:28" ht="19.5" customHeight="1" thickBot="1">
      <c r="A12" s="19"/>
      <c r="B12" s="284" t="s">
        <v>319</v>
      </c>
      <c r="C12" s="281" t="s">
        <v>318</v>
      </c>
      <c r="D12" s="291"/>
      <c r="E12" s="295"/>
      <c r="F12" s="291"/>
      <c r="G12" s="291"/>
      <c r="H12" s="291"/>
      <c r="I12" s="291"/>
      <c r="J12" s="295"/>
      <c r="K12" s="291"/>
      <c r="L12" s="291"/>
      <c r="M12" s="291"/>
      <c r="N12" s="291"/>
      <c r="O12" s="296"/>
      <c r="P12" s="296"/>
      <c r="Q12" s="296"/>
      <c r="R12" s="296"/>
      <c r="S12" s="296"/>
      <c r="T12" s="296"/>
      <c r="U12" s="296"/>
      <c r="V12" s="296"/>
      <c r="W12" s="297"/>
      <c r="Y12" s="24"/>
    </row>
    <row r="13" spans="1:28" ht="19.5" customHeight="1" thickBot="1">
      <c r="A13" s="19"/>
      <c r="B13" s="285" t="s">
        <v>323</v>
      </c>
      <c r="C13" s="280" t="s">
        <v>23</v>
      </c>
      <c r="D13" s="296"/>
      <c r="E13" s="303" t="s">
        <v>335</v>
      </c>
      <c r="F13" s="296"/>
      <c r="G13" s="296"/>
      <c r="H13" s="296"/>
      <c r="I13" s="296"/>
      <c r="J13" s="296"/>
      <c r="K13" s="296"/>
      <c r="L13" s="296"/>
      <c r="M13" s="296"/>
      <c r="N13" s="296"/>
      <c r="O13" s="296"/>
      <c r="P13" s="296"/>
      <c r="Q13" s="296"/>
      <c r="R13" s="296"/>
      <c r="S13" s="296"/>
      <c r="T13" s="296"/>
      <c r="U13" s="296"/>
      <c r="V13" s="296"/>
      <c r="W13" s="297"/>
      <c r="Z13" s="12"/>
    </row>
    <row r="14" spans="1:28" ht="19.5" customHeight="1" thickBot="1">
      <c r="A14" s="19"/>
      <c r="B14" s="284" t="s">
        <v>320</v>
      </c>
      <c r="C14" s="281" t="s">
        <v>318</v>
      </c>
      <c r="D14" s="296"/>
      <c r="E14" s="303" t="s">
        <v>335</v>
      </c>
      <c r="F14" s="296"/>
      <c r="G14" s="303" t="s">
        <v>335</v>
      </c>
      <c r="H14" s="291"/>
      <c r="I14" s="304" t="s">
        <v>335</v>
      </c>
      <c r="J14" s="291"/>
      <c r="K14" s="296"/>
      <c r="L14" s="296"/>
      <c r="M14" s="296"/>
      <c r="N14" s="296"/>
      <c r="O14" s="296"/>
      <c r="P14" s="296"/>
      <c r="Q14" s="296"/>
      <c r="R14" s="296"/>
      <c r="S14" s="296"/>
      <c r="T14" s="296"/>
      <c r="U14" s="296"/>
      <c r="V14" s="296"/>
      <c r="W14" s="297"/>
      <c r="X14" s="25"/>
      <c r="Y14" s="26"/>
      <c r="Z14" s="12"/>
      <c r="AA14" s="12"/>
    </row>
    <row r="15" spans="1:28" ht="20.25" customHeight="1" thickBot="1">
      <c r="A15" s="19"/>
      <c r="B15" s="285" t="s">
        <v>242</v>
      </c>
      <c r="C15" s="280" t="s">
        <v>23</v>
      </c>
      <c r="D15" s="296"/>
      <c r="E15" s="296"/>
      <c r="F15" s="296"/>
      <c r="G15" s="296"/>
      <c r="H15" s="296"/>
      <c r="I15" s="296"/>
      <c r="J15" s="295"/>
      <c r="K15" s="295"/>
      <c r="L15" s="295"/>
      <c r="M15" s="291"/>
      <c r="N15" s="295"/>
      <c r="O15" s="291"/>
      <c r="P15" s="295"/>
      <c r="Q15" s="295"/>
      <c r="R15" s="295"/>
      <c r="S15" s="295"/>
      <c r="T15" s="295"/>
      <c r="U15" s="298"/>
      <c r="V15" s="295"/>
      <c r="W15" s="299"/>
      <c r="Z15" s="12"/>
      <c r="AA15" s="12"/>
    </row>
    <row r="16" spans="1:28" ht="19.5" customHeight="1" thickBot="1">
      <c r="A16" s="19"/>
      <c r="B16" s="284" t="s">
        <v>243</v>
      </c>
      <c r="C16" s="281" t="s">
        <v>318</v>
      </c>
      <c r="D16" s="296"/>
      <c r="E16" s="296"/>
      <c r="F16" s="296"/>
      <c r="G16" s="296"/>
      <c r="H16" s="296"/>
      <c r="I16" s="296"/>
      <c r="J16" s="295"/>
      <c r="K16" s="295"/>
      <c r="L16" s="295"/>
      <c r="M16" s="291"/>
      <c r="N16" s="295"/>
      <c r="O16" s="291"/>
      <c r="P16" s="295"/>
      <c r="Q16" s="295"/>
      <c r="R16" s="295"/>
      <c r="S16" s="295"/>
      <c r="T16" s="295"/>
      <c r="U16" s="298"/>
      <c r="V16" s="295"/>
      <c r="W16" s="299"/>
    </row>
    <row r="17" spans="1:24" ht="19.5" customHeight="1" thickBot="1">
      <c r="A17" s="19"/>
      <c r="B17" s="283" t="s">
        <v>43</v>
      </c>
      <c r="C17" s="280" t="s">
        <v>23</v>
      </c>
      <c r="D17" s="304" t="s">
        <v>335</v>
      </c>
      <c r="E17" s="304" t="s">
        <v>335</v>
      </c>
      <c r="F17" s="295"/>
      <c r="G17" s="295"/>
      <c r="H17" s="295"/>
      <c r="I17" s="295"/>
      <c r="J17" s="295"/>
      <c r="K17" s="295"/>
      <c r="L17" s="295"/>
      <c r="M17" s="295"/>
      <c r="N17" s="295"/>
      <c r="O17" s="295"/>
      <c r="P17" s="295"/>
      <c r="Q17" s="295"/>
      <c r="R17" s="295"/>
      <c r="S17" s="295"/>
      <c r="T17" s="295"/>
      <c r="U17" s="298"/>
      <c r="V17" s="295"/>
      <c r="W17" s="299"/>
    </row>
    <row r="18" spans="1:24" ht="19.5" customHeight="1" thickBot="1">
      <c r="A18" s="19"/>
      <c r="B18" s="284" t="s">
        <v>248</v>
      </c>
      <c r="C18" s="281" t="s">
        <v>318</v>
      </c>
      <c r="D18" s="305" t="s">
        <v>335</v>
      </c>
      <c r="E18" s="305" t="s">
        <v>335</v>
      </c>
      <c r="F18" s="300"/>
      <c r="G18" s="300"/>
      <c r="H18" s="300"/>
      <c r="I18" s="300"/>
      <c r="J18" s="300"/>
      <c r="K18" s="300"/>
      <c r="L18" s="300"/>
      <c r="M18" s="300"/>
      <c r="N18" s="300"/>
      <c r="O18" s="300"/>
      <c r="P18" s="300"/>
      <c r="Q18" s="300"/>
      <c r="R18" s="300"/>
      <c r="S18" s="300"/>
      <c r="T18" s="300"/>
      <c r="U18" s="301"/>
      <c r="V18" s="300"/>
      <c r="W18" s="302"/>
    </row>
    <row r="19" spans="1:24" ht="15.75" customHeight="1" thickBot="1">
      <c r="A19" s="19"/>
      <c r="B19" s="19"/>
      <c r="C19" s="383"/>
      <c r="D19" s="383"/>
      <c r="E19" s="383"/>
      <c r="F19" s="383"/>
      <c r="G19" s="383"/>
      <c r="H19" s="383"/>
      <c r="I19" s="383"/>
      <c r="J19" s="383"/>
      <c r="K19" s="383"/>
      <c r="L19" s="383"/>
      <c r="M19" s="383"/>
      <c r="N19" s="383"/>
      <c r="O19" s="383"/>
      <c r="P19" s="383"/>
      <c r="Q19" s="383"/>
      <c r="R19" s="383"/>
      <c r="S19" s="383"/>
      <c r="T19" s="383"/>
      <c r="U19" s="383"/>
      <c r="V19" s="383"/>
      <c r="W19" s="383"/>
    </row>
    <row r="20" spans="1:24" ht="14.4">
      <c r="A20" s="19"/>
      <c r="B20" s="19"/>
      <c r="E20" s="255" t="s">
        <v>325</v>
      </c>
      <c r="F20" s="311"/>
      <c r="G20" s="312"/>
      <c r="H20" s="38" t="s">
        <v>328</v>
      </c>
      <c r="O20" s="229"/>
      <c r="P20" s="229"/>
      <c r="Q20" s="229"/>
      <c r="R20" s="229"/>
      <c r="S20" s="229"/>
      <c r="T20" s="229"/>
      <c r="U20" s="229"/>
      <c r="V20" s="229"/>
      <c r="W20" s="229"/>
    </row>
    <row r="21" spans="1:24" ht="14.4">
      <c r="A21" s="19"/>
      <c r="B21" s="19"/>
      <c r="E21" s="255" t="s">
        <v>326</v>
      </c>
      <c r="F21" s="313"/>
      <c r="G21" s="314"/>
      <c r="H21" s="38" t="s">
        <v>329</v>
      </c>
      <c r="O21" s="19"/>
      <c r="P21" s="19"/>
      <c r="Q21" s="19"/>
      <c r="R21" s="19"/>
      <c r="S21" s="19"/>
    </row>
    <row r="22" spans="1:24" ht="14.4">
      <c r="A22" s="19"/>
      <c r="B22" s="19"/>
      <c r="E22" s="255" t="s">
        <v>327</v>
      </c>
      <c r="F22" s="315"/>
      <c r="G22" s="316"/>
      <c r="H22" s="38" t="s">
        <v>330</v>
      </c>
      <c r="O22" s="19"/>
      <c r="P22" s="19"/>
      <c r="Q22" s="19"/>
      <c r="R22" s="19"/>
      <c r="S22" s="19"/>
    </row>
    <row r="23" spans="1:24" ht="15.75" customHeight="1" thickBot="1">
      <c r="A23" s="19"/>
      <c r="B23" s="19"/>
      <c r="E23" s="255" t="s">
        <v>334</v>
      </c>
      <c r="F23" s="506" t="s">
        <v>335</v>
      </c>
      <c r="G23" s="507"/>
      <c r="H23" s="38" t="s">
        <v>336</v>
      </c>
      <c r="O23" s="19"/>
      <c r="P23" s="19"/>
      <c r="Q23" s="19"/>
      <c r="R23" s="19"/>
      <c r="S23" s="19"/>
    </row>
    <row r="24" spans="1:24">
      <c r="A24" s="19"/>
      <c r="B24" s="19"/>
      <c r="E24" s="19"/>
      <c r="F24" s="19"/>
      <c r="G24" s="19"/>
      <c r="H24" s="19"/>
      <c r="L24" s="19"/>
      <c r="M24" s="19"/>
      <c r="N24" s="19"/>
      <c r="O24" s="19"/>
      <c r="P24" s="19"/>
      <c r="Q24" s="19"/>
      <c r="R24" s="19"/>
      <c r="S24" s="19"/>
    </row>
    <row r="25" spans="1:24" ht="15" thickBot="1">
      <c r="A25" s="19"/>
      <c r="B25" s="19"/>
      <c r="E25" s="230" t="s">
        <v>47</v>
      </c>
      <c r="F25" s="19"/>
      <c r="G25" s="19"/>
      <c r="H25" s="44" t="s">
        <v>48</v>
      </c>
      <c r="L25" s="19"/>
      <c r="M25" s="19"/>
      <c r="N25" s="19"/>
      <c r="O25" s="19"/>
      <c r="P25" s="19"/>
      <c r="Q25" s="19"/>
      <c r="R25" s="19"/>
      <c r="S25" s="19"/>
    </row>
    <row r="26" spans="1:24" ht="15.75" customHeight="1" thickBot="1">
      <c r="A26" s="19"/>
      <c r="B26" s="19"/>
      <c r="E26" s="230" t="s">
        <v>49</v>
      </c>
      <c r="F26" s="492" t="s">
        <v>23</v>
      </c>
      <c r="G26" s="493"/>
      <c r="H26" s="44" t="s">
        <v>50</v>
      </c>
      <c r="L26" s="19"/>
      <c r="M26" s="19"/>
      <c r="N26" s="19"/>
      <c r="O26" s="19"/>
      <c r="P26" s="19"/>
      <c r="Q26" s="19"/>
      <c r="R26" s="19"/>
      <c r="S26" s="19"/>
    </row>
    <row r="27" spans="1:24" ht="15" thickBot="1">
      <c r="A27" s="19"/>
      <c r="B27" s="19"/>
      <c r="C27" s="230"/>
      <c r="D27" s="230"/>
      <c r="E27" s="230" t="s">
        <v>51</v>
      </c>
      <c r="F27" s="376" t="s">
        <v>24</v>
      </c>
      <c r="G27" s="376"/>
      <c r="H27" s="38" t="s">
        <v>52</v>
      </c>
      <c r="I27" s="230"/>
      <c r="L27" s="19"/>
      <c r="M27" s="19"/>
      <c r="N27" s="19"/>
      <c r="O27" s="19"/>
      <c r="P27" s="19"/>
      <c r="Q27" s="19"/>
      <c r="R27" s="19"/>
      <c r="S27" s="19"/>
    </row>
    <row r="28" spans="1:24">
      <c r="A28" s="19"/>
      <c r="B28" s="19"/>
      <c r="C28" s="230"/>
      <c r="D28" s="230"/>
      <c r="K28" s="230"/>
      <c r="L28" s="230"/>
      <c r="M28" s="230"/>
      <c r="N28" s="230"/>
      <c r="O28" s="230"/>
      <c r="P28" s="230"/>
      <c r="Q28" s="230"/>
      <c r="R28" s="230"/>
      <c r="S28" s="230"/>
    </row>
    <row r="29" spans="1:24">
      <c r="A29" s="19"/>
      <c r="B29" s="19"/>
      <c r="C29" s="230"/>
      <c r="D29" s="230"/>
      <c r="E29" s="230"/>
      <c r="F29" s="230"/>
      <c r="G29" s="230"/>
      <c r="H29" s="230"/>
      <c r="I29" s="230"/>
      <c r="J29" s="230"/>
      <c r="K29" s="230"/>
      <c r="L29" s="230"/>
      <c r="M29" s="230"/>
      <c r="N29" s="230"/>
      <c r="O29" s="230"/>
      <c r="P29" s="230"/>
      <c r="Q29" s="230"/>
      <c r="R29" s="230"/>
      <c r="S29" s="230"/>
      <c r="T29" s="230"/>
      <c r="U29" s="230"/>
      <c r="V29" s="230"/>
      <c r="W29" s="230"/>
    </row>
    <row r="30" spans="1:24" s="8" customFormat="1">
      <c r="C30" s="28" t="s">
        <v>182</v>
      </c>
      <c r="D30" s="28"/>
      <c r="E30" s="28"/>
      <c r="F30" s="28"/>
      <c r="G30" s="28"/>
      <c r="H30" s="28"/>
      <c r="I30" s="28"/>
      <c r="J30" s="28"/>
      <c r="K30" s="28"/>
      <c r="L30" s="28"/>
      <c r="M30" s="28"/>
      <c r="N30" s="28"/>
      <c r="O30" s="28"/>
      <c r="P30" s="28"/>
      <c r="Q30" s="28"/>
      <c r="R30" s="28"/>
      <c r="S30" s="28"/>
      <c r="T30" s="28"/>
      <c r="U30" s="28"/>
      <c r="V30" s="28"/>
      <c r="W30" s="28"/>
    </row>
    <row r="31" spans="1:24" s="8" customFormat="1">
      <c r="C31" s="28" t="s">
        <v>184</v>
      </c>
      <c r="D31" s="28"/>
      <c r="E31" s="28"/>
      <c r="F31" s="28"/>
      <c r="G31" s="28"/>
      <c r="H31" s="28"/>
      <c r="I31" s="28"/>
      <c r="J31" s="28"/>
      <c r="K31" s="28"/>
      <c r="L31" s="28"/>
      <c r="M31" s="28"/>
      <c r="N31" s="28"/>
      <c r="O31" s="28"/>
      <c r="P31" s="28"/>
      <c r="Q31" s="28"/>
      <c r="R31" s="28"/>
      <c r="S31" s="28"/>
      <c r="T31" s="28"/>
      <c r="U31" s="28"/>
      <c r="V31" s="28"/>
      <c r="W31" s="28"/>
    </row>
    <row r="32" spans="1:24" s="8" customFormat="1">
      <c r="C32" s="28" t="s">
        <v>186</v>
      </c>
      <c r="D32" s="28"/>
      <c r="E32" s="28"/>
      <c r="F32" s="28"/>
      <c r="G32" s="28"/>
      <c r="H32" s="28"/>
      <c r="I32" s="28"/>
      <c r="J32" s="28"/>
      <c r="K32" s="28"/>
      <c r="L32" s="28"/>
      <c r="M32" s="28"/>
      <c r="N32" s="28"/>
      <c r="O32" s="28"/>
      <c r="P32" s="28"/>
      <c r="Q32" s="28"/>
      <c r="R32" s="28"/>
      <c r="S32" s="28"/>
      <c r="T32" s="28"/>
      <c r="U32" s="28"/>
      <c r="V32" s="28"/>
      <c r="W32" s="28"/>
      <c r="X32" s="31"/>
    </row>
    <row r="33" spans="3:26" s="8" customFormat="1">
      <c r="C33" s="28" t="s">
        <v>188</v>
      </c>
      <c r="D33" s="28"/>
      <c r="E33" s="28"/>
      <c r="F33" s="28"/>
      <c r="G33" s="28"/>
      <c r="H33" s="28"/>
      <c r="I33" s="28"/>
      <c r="J33" s="28"/>
      <c r="K33" s="28"/>
      <c r="L33" s="28"/>
      <c r="M33" s="28"/>
      <c r="N33" s="28"/>
      <c r="O33" s="28"/>
      <c r="P33" s="28"/>
      <c r="Q33" s="28"/>
      <c r="R33" s="28"/>
      <c r="S33" s="28"/>
      <c r="T33" s="28"/>
      <c r="U33" s="28"/>
      <c r="V33" s="28"/>
      <c r="W33" s="28"/>
      <c r="X33" s="31"/>
    </row>
    <row r="34" spans="3:26" s="8" customFormat="1"/>
    <row r="35" spans="3:26">
      <c r="C35" s="10"/>
      <c r="D35" s="10"/>
      <c r="E35" s="10"/>
      <c r="F35" s="10"/>
      <c r="G35" s="10"/>
      <c r="H35" s="10"/>
      <c r="I35" s="10"/>
      <c r="J35" s="10"/>
      <c r="K35" s="10"/>
      <c r="L35" s="10"/>
      <c r="M35" s="10"/>
      <c r="N35" s="10"/>
      <c r="O35" s="10"/>
      <c r="P35" s="10"/>
      <c r="Q35" s="10"/>
      <c r="R35" s="10"/>
      <c r="S35" s="10"/>
      <c r="T35" s="10"/>
      <c r="U35" s="10"/>
      <c r="V35" s="10"/>
      <c r="W35" s="10"/>
      <c r="X35" s="8"/>
      <c r="Y35" s="8"/>
      <c r="Z35" s="8"/>
    </row>
    <row r="36" spans="3:26">
      <c r="C36" s="10"/>
      <c r="D36" s="10"/>
      <c r="E36" s="10"/>
      <c r="F36" s="10"/>
      <c r="G36" s="10"/>
      <c r="H36" s="10"/>
      <c r="I36" s="10"/>
      <c r="J36" s="10"/>
      <c r="K36" s="10"/>
      <c r="L36" s="10"/>
      <c r="M36" s="10"/>
      <c r="N36" s="10"/>
      <c r="O36" s="10"/>
      <c r="P36" s="10"/>
      <c r="Q36" s="10"/>
      <c r="R36" s="10"/>
      <c r="S36" s="10"/>
      <c r="T36" s="10"/>
      <c r="U36" s="10"/>
      <c r="V36" s="10"/>
      <c r="W36" s="10"/>
      <c r="X36" s="8"/>
      <c r="Y36" s="8"/>
      <c r="Z36" s="8"/>
    </row>
    <row r="37" spans="3:26">
      <c r="C37" s="12"/>
      <c r="D37" s="12"/>
      <c r="E37" s="12"/>
      <c r="F37" s="12"/>
      <c r="G37" s="12"/>
      <c r="H37" s="12"/>
      <c r="I37" s="12"/>
      <c r="J37" s="12"/>
      <c r="K37" s="12"/>
      <c r="L37" s="12"/>
      <c r="M37" s="12"/>
      <c r="N37" s="12"/>
      <c r="O37" s="12"/>
      <c r="P37" s="12"/>
      <c r="Q37" s="12"/>
      <c r="R37" s="12"/>
      <c r="S37" s="12"/>
      <c r="T37" s="12"/>
      <c r="U37" s="12"/>
      <c r="V37" s="12"/>
      <c r="W37" s="12"/>
    </row>
    <row r="38" spans="3:26">
      <c r="C38" s="12"/>
      <c r="D38" s="12"/>
      <c r="E38" s="12"/>
      <c r="F38" s="12"/>
      <c r="G38" s="12"/>
      <c r="H38" s="12"/>
      <c r="I38" s="12"/>
      <c r="J38" s="12"/>
      <c r="K38" s="12"/>
      <c r="L38" s="12"/>
      <c r="M38" s="12"/>
      <c r="N38" s="12"/>
      <c r="O38" s="12"/>
      <c r="P38" s="12"/>
      <c r="Q38" s="12"/>
      <c r="R38" s="12"/>
      <c r="S38" s="12"/>
      <c r="T38" s="12"/>
      <c r="U38" s="12"/>
      <c r="V38" s="12"/>
      <c r="W38" s="12"/>
    </row>
    <row r="39" spans="3:26">
      <c r="C39" s="12"/>
      <c r="D39" s="12"/>
      <c r="E39" s="12"/>
      <c r="F39" s="12"/>
      <c r="G39" s="12"/>
      <c r="H39" s="12"/>
      <c r="I39" s="12"/>
      <c r="J39" s="12"/>
      <c r="K39" s="12"/>
      <c r="L39" s="12"/>
      <c r="M39" s="12"/>
      <c r="N39" s="12"/>
      <c r="O39" s="12"/>
      <c r="P39" s="12"/>
      <c r="Q39" s="12"/>
      <c r="R39" s="12"/>
      <c r="S39" s="12"/>
      <c r="T39" s="12"/>
      <c r="U39" s="12"/>
      <c r="V39" s="12"/>
      <c r="W39" s="12"/>
    </row>
  </sheetData>
  <mergeCells count="27">
    <mergeCell ref="D8:E8"/>
    <mergeCell ref="F27:G27"/>
    <mergeCell ref="T4:V4"/>
    <mergeCell ref="C19:W19"/>
    <mergeCell ref="K7:M7"/>
    <mergeCell ref="K8:M8"/>
    <mergeCell ref="K4:M4"/>
    <mergeCell ref="T7:V7"/>
    <mergeCell ref="T8:V8"/>
    <mergeCell ref="Q7:S7"/>
    <mergeCell ref="Q8:S8"/>
    <mergeCell ref="N7:P7"/>
    <mergeCell ref="N8:P8"/>
    <mergeCell ref="H4:J4"/>
    <mergeCell ref="F23:G23"/>
    <mergeCell ref="D4:E4"/>
    <mergeCell ref="D7:E7"/>
    <mergeCell ref="B1:C1"/>
    <mergeCell ref="B3:W3"/>
    <mergeCell ref="Q4:S4"/>
    <mergeCell ref="N4:P4"/>
    <mergeCell ref="F4:G4"/>
    <mergeCell ref="F26:G26"/>
    <mergeCell ref="H7:J7"/>
    <mergeCell ref="H8:J8"/>
    <mergeCell ref="F7:G7"/>
    <mergeCell ref="F8:G8"/>
  </mergeCells>
  <hyperlinks>
    <hyperlink ref="B1" location="Content!A1" display="↖ atgal į turinį" xr:uid="{7E7B32CD-3BAE-4A3D-917C-45C0521BB515}"/>
    <hyperlink ref="B1:C1" location="Content!A1" display="↖ atgal į turinį " xr:uid="{4F0F2448-2ADE-4B0E-ACC5-7AED12A29809}"/>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6" ma:contentTypeDescription="Kurkite naują dokumentą." ma:contentTypeScope="" ma:versionID="7d7ee03f3ab44c3ba676affb3dc5b36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741d6f96dcd68b2ecec132194d4662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CAA6AE-DBC7-41BC-97E8-EB7A06FA3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2EF8B-66EA-4F82-A307-9453EED8E31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www.w3.org/XML/1998/namespace"/>
    <ds:schemaRef ds:uri="http://purl.org/dc/dcmitype/"/>
  </ds:schemaRefs>
</ds:datastoreItem>
</file>

<file path=customXml/itemProps3.xml><?xml version="1.0" encoding="utf-8"?>
<ds:datastoreItem xmlns:ds="http://schemas.openxmlformats.org/officeDocument/2006/customXml" ds:itemID="{6780A987-4A38-4293-857B-392ED21F98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2</vt:i4>
      </vt:variant>
    </vt:vector>
  </HeadingPairs>
  <TitlesOfParts>
    <vt:vector size="10" baseType="lpstr">
      <vt:lpstr>Content</vt:lpstr>
      <vt:lpstr>1. Summary</vt:lpstr>
      <vt:lpstr>2. Macro</vt:lpstr>
      <vt:lpstr>3. GGbudget</vt:lpstr>
      <vt:lpstr>4. SurplusGG</vt:lpstr>
      <vt:lpstr>5. GGexpenditure</vt:lpstr>
      <vt:lpstr>6. GGbudgets</vt:lpstr>
      <vt:lpstr>7. History</vt:lpstr>
      <vt:lpstr>eps</vt:lpstr>
      <vt:lpstr>metai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2023-05-09T12:20:11Z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y fmtid="{D5CDD505-2E9C-101B-9397-08002B2CF9AE}" pid="7" name="MediaServiceImageTags">
    <vt:lpwstr/>
  </property>
</Properties>
</file>