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Šios_darbaknygės"/>
  <mc:AlternateContent xmlns:mc="http://schemas.openxmlformats.org/markup-compatibility/2006">
    <mc:Choice Requires="x15">
      <x15ac:absPath xmlns:x15ac="http://schemas.microsoft.com/office/spreadsheetml/2010/11/ac" url="C:\Users\vbindoriute\Desktop\Tomui\"/>
    </mc:Choice>
  </mc:AlternateContent>
  <xr:revisionPtr revIDLastSave="0" documentId="13_ncr:1_{0FADAEDE-0824-47A0-880A-5DE20198C7CB}" xr6:coauthVersionLast="36" xr6:coauthVersionMax="36" xr10:uidLastSave="{00000000-0000-0000-0000-000000000000}"/>
  <bookViews>
    <workbookView xWindow="0" yWindow="0" windowWidth="20496" windowHeight="6648"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s>
  <definedNames>
    <definedName name="eps">'2. Macro'!$D$47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6" l="1"/>
  <c r="H21" i="4" l="1"/>
  <c r="G21" i="4"/>
  <c r="E24" i="4"/>
  <c r="F7" i="4"/>
  <c r="F11" i="4"/>
  <c r="G32" i="4"/>
  <c r="E11" i="4"/>
  <c r="F22" i="7" l="1"/>
  <c r="E22" i="7"/>
  <c r="F6" i="7"/>
  <c r="F8" i="4"/>
  <c r="G10" i="4" l="1"/>
  <c r="D26" i="3"/>
  <c r="D38" i="3" s="1"/>
  <c r="L21" i="3" l="1"/>
  <c r="L23" i="3"/>
  <c r="G31" i="4" s="1"/>
  <c r="F21" i="4" l="1"/>
  <c r="I26" i="3"/>
  <c r="E7" i="4" l="1"/>
  <c r="D36" i="3"/>
  <c r="D34" i="3"/>
  <c r="D33" i="3"/>
  <c r="D31" i="3"/>
  <c r="F34" i="3"/>
  <c r="G34" i="3"/>
  <c r="H34" i="3"/>
  <c r="I34" i="3"/>
  <c r="J34" i="3"/>
  <c r="K34" i="3"/>
  <c r="E34" i="3"/>
  <c r="L14" i="3" l="1"/>
  <c r="M14" i="3"/>
  <c r="N14" i="3"/>
  <c r="O14" i="3"/>
  <c r="L13" i="3"/>
  <c r="M13" i="3"/>
  <c r="N13" i="3"/>
  <c r="O13" i="3"/>
  <c r="M12" i="3"/>
  <c r="N12" i="3"/>
  <c r="O12" i="3"/>
  <c r="L12" i="3"/>
  <c r="M10" i="3"/>
  <c r="L8" i="3"/>
  <c r="L10" i="3"/>
  <c r="N10" i="3"/>
  <c r="O10" i="3"/>
  <c r="L9" i="3"/>
  <c r="M9" i="3"/>
  <c r="N9" i="3"/>
  <c r="O9" i="3"/>
  <c r="M8" i="3"/>
  <c r="N8" i="3"/>
  <c r="O8" i="3"/>
  <c r="K9" i="3"/>
  <c r="G5" i="3"/>
  <c r="H5" i="3"/>
  <c r="I5" i="3"/>
  <c r="J5" i="3" s="1"/>
  <c r="K5" i="3" s="1"/>
  <c r="F5" i="3"/>
  <c r="E5" i="3"/>
  <c r="C7" i="2" l="1"/>
  <c r="C6" i="2"/>
  <c r="G34" i="6"/>
  <c r="F34" i="6"/>
  <c r="G32" i="6"/>
  <c r="F32" i="6"/>
  <c r="F7" i="6"/>
  <c r="F6" i="6"/>
  <c r="G56" i="6" l="1"/>
  <c r="F56" i="6"/>
  <c r="F39" i="6" l="1"/>
  <c r="F53" i="6" s="1"/>
  <c r="K36" i="3" l="1"/>
  <c r="K35" i="3"/>
  <c r="H29" i="4" l="1"/>
  <c r="G29" i="4"/>
  <c r="H7" i="4"/>
  <c r="H19" i="4"/>
  <c r="G19" i="4"/>
  <c r="H17" i="4"/>
  <c r="G17" i="4"/>
  <c r="E21" i="4" l="1"/>
  <c r="F40" i="6" l="1"/>
  <c r="F54" i="6" s="1"/>
  <c r="H23" i="4" l="1"/>
  <c r="G23" i="4"/>
  <c r="K20" i="3" l="1"/>
  <c r="E19" i="3"/>
  <c r="F19" i="3"/>
  <c r="G19" i="3"/>
  <c r="H19" i="3"/>
  <c r="I19" i="3"/>
  <c r="J19" i="3"/>
  <c r="K19" i="3"/>
  <c r="M18" i="3"/>
  <c r="M17" i="3"/>
  <c r="E23" i="7" l="1"/>
  <c r="G17" i="6"/>
  <c r="F17" i="6"/>
  <c r="G18" i="6" s="1"/>
  <c r="G19" i="6" l="1"/>
  <c r="F19" i="6"/>
  <c r="F18" i="6"/>
  <c r="K27" i="3"/>
  <c r="G6" i="4"/>
  <c r="G5" i="4"/>
  <c r="G28" i="4" l="1"/>
  <c r="G20" i="4"/>
  <c r="G18" i="4"/>
  <c r="G24" i="4"/>
  <c r="D19" i="3" l="1"/>
  <c r="F23" i="7" l="1"/>
  <c r="K13" i="3" l="1"/>
  <c r="L17" i="3" l="1"/>
  <c r="N17" i="3"/>
  <c r="O17" i="3"/>
  <c r="L18" i="3"/>
  <c r="N18" i="3"/>
  <c r="O18" i="3"/>
  <c r="K17" i="3"/>
  <c r="O27" i="3" l="1"/>
  <c r="L19" i="3"/>
  <c r="M27" i="3"/>
  <c r="H6" i="4"/>
  <c r="L20" i="3"/>
  <c r="L22" i="3" s="1"/>
  <c r="L27" i="3"/>
  <c r="N27" i="3"/>
  <c r="F13" i="3"/>
  <c r="G13" i="3"/>
  <c r="H13" i="3"/>
  <c r="I13" i="3"/>
  <c r="J13" i="3"/>
  <c r="F10" i="3"/>
  <c r="G10" i="3"/>
  <c r="H10" i="3"/>
  <c r="I10" i="3"/>
  <c r="J10" i="3"/>
  <c r="K10" i="3"/>
  <c r="F9" i="3"/>
  <c r="G9" i="3"/>
  <c r="H9" i="3"/>
  <c r="I9" i="3"/>
  <c r="J9" i="3"/>
  <c r="M20" i="3" l="1"/>
  <c r="M22" i="3" s="1"/>
  <c r="M19" i="3"/>
  <c r="M21" i="3" s="1"/>
  <c r="H18" i="4"/>
  <c r="H24" i="4"/>
  <c r="H20" i="4"/>
  <c r="H28" i="4"/>
  <c r="M29" i="3"/>
  <c r="N29" i="3"/>
  <c r="O29" i="3"/>
  <c r="L25" i="3"/>
  <c r="L24" i="3"/>
  <c r="L26" i="3"/>
  <c r="M24" i="3"/>
  <c r="H5" i="4"/>
  <c r="M26" i="3" l="1"/>
  <c r="N19" i="3"/>
  <c r="N20" i="3"/>
  <c r="M23" i="3"/>
  <c r="F29" i="7"/>
  <c r="G52" i="6"/>
  <c r="M25" i="3"/>
  <c r="F31" i="5"/>
  <c r="E29" i="7"/>
  <c r="F52" i="6"/>
  <c r="E31" i="5"/>
  <c r="G17" i="3"/>
  <c r="N22" i="3" l="1"/>
  <c r="N24" i="3"/>
  <c r="N26" i="3"/>
  <c r="O19" i="3"/>
  <c r="O20" i="3"/>
  <c r="E14" i="7"/>
  <c r="E15" i="7"/>
  <c r="F14" i="7"/>
  <c r="F15" i="7"/>
  <c r="N21" i="3"/>
  <c r="N23" i="3"/>
  <c r="N25" i="3"/>
  <c r="K28" i="3"/>
  <c r="K21" i="3"/>
  <c r="O24" i="3" l="1"/>
  <c r="O26" i="3"/>
  <c r="O22" i="3"/>
  <c r="O25" i="3"/>
  <c r="O21" i="3"/>
  <c r="O23" i="3"/>
  <c r="E7" i="5"/>
  <c r="E6" i="5"/>
  <c r="J20" i="3" l="1"/>
  <c r="J26" i="3" l="1"/>
  <c r="F43" i="6" l="1"/>
  <c r="D26" i="2" l="1"/>
  <c r="D25" i="2"/>
  <c r="C26" i="2"/>
  <c r="C25" i="2"/>
  <c r="D32" i="2"/>
  <c r="D31" i="2"/>
  <c r="C32" i="2"/>
  <c r="C31" i="2"/>
  <c r="E21" i="5" l="1"/>
  <c r="F23" i="5"/>
  <c r="E23" i="5"/>
  <c r="F21" i="5"/>
  <c r="F20" i="5"/>
  <c r="E20" i="5"/>
  <c r="D12" i="2" l="1"/>
  <c r="C12" i="2"/>
  <c r="E36" i="5"/>
  <c r="E39" i="5"/>
  <c r="E38" i="5"/>
  <c r="E37" i="5"/>
  <c r="F22" i="5"/>
  <c r="D11" i="2" s="1"/>
  <c r="E32" i="5"/>
  <c r="E30" i="5"/>
  <c r="F18" i="5" l="1"/>
  <c r="E18" i="5"/>
  <c r="E17" i="5"/>
  <c r="E19" i="5" s="1"/>
  <c r="F17" i="5"/>
  <c r="F19" i="5" s="1"/>
  <c r="E40" i="5"/>
  <c r="D9" i="2"/>
  <c r="C10" i="2" l="1"/>
  <c r="D10" i="2"/>
  <c r="E22" i="5"/>
  <c r="C11" i="2" s="1"/>
  <c r="C9" i="2"/>
  <c r="F44" i="6" l="1"/>
  <c r="G20" i="6" l="1"/>
  <c r="G21" i="6" s="1"/>
  <c r="G22" i="6" l="1"/>
  <c r="G68" i="6"/>
  <c r="I68" i="6" s="1"/>
  <c r="F67" i="6" l="1"/>
  <c r="H67" i="6" s="1"/>
  <c r="G43" i="6" l="1"/>
  <c r="G44" i="6"/>
  <c r="G7" i="4"/>
  <c r="G8" i="4" s="1"/>
  <c r="G30" i="4" s="1"/>
  <c r="H11" i="4"/>
  <c r="H12" i="4" s="1"/>
  <c r="H32" i="4" s="1"/>
  <c r="F32" i="7" s="1"/>
  <c r="G11" i="4"/>
  <c r="G12" i="4" s="1"/>
  <c r="F10" i="7" l="1"/>
  <c r="F9" i="7"/>
  <c r="H22" i="4"/>
  <c r="G40" i="6"/>
  <c r="G54" i="6" s="1"/>
  <c r="H10" i="4"/>
  <c r="J36" i="3"/>
  <c r="I36" i="3"/>
  <c r="H36" i="3"/>
  <c r="G36" i="3"/>
  <c r="F36" i="3"/>
  <c r="E36" i="3"/>
  <c r="J35" i="3"/>
  <c r="I35" i="3"/>
  <c r="H35" i="3"/>
  <c r="G35" i="3"/>
  <c r="F35" i="3"/>
  <c r="E35" i="3"/>
  <c r="D35" i="3"/>
  <c r="K32" i="3"/>
  <c r="J32" i="3"/>
  <c r="I32" i="3"/>
  <c r="H32" i="3"/>
  <c r="G32" i="3"/>
  <c r="F32" i="3"/>
  <c r="D32" i="3"/>
  <c r="D30" i="3"/>
  <c r="D29" i="3"/>
  <c r="J28" i="3"/>
  <c r="K30" i="3" s="1"/>
  <c r="I28" i="3"/>
  <c r="H28" i="3"/>
  <c r="G28" i="3"/>
  <c r="F28" i="3"/>
  <c r="E28" i="3"/>
  <c r="D28" i="3"/>
  <c r="L29" i="3"/>
  <c r="J27" i="3"/>
  <c r="K29" i="3" s="1"/>
  <c r="I27" i="3"/>
  <c r="H27" i="3"/>
  <c r="G27" i="3"/>
  <c r="F27" i="3"/>
  <c r="E27" i="3"/>
  <c r="D27" i="3"/>
  <c r="D39" i="3"/>
  <c r="D25" i="3"/>
  <c r="D24" i="3"/>
  <c r="D23" i="3"/>
  <c r="D22" i="3"/>
  <c r="D21" i="3"/>
  <c r="I20" i="3"/>
  <c r="H20" i="3"/>
  <c r="G20" i="3"/>
  <c r="G22" i="3" s="1"/>
  <c r="F20" i="3"/>
  <c r="E20" i="3"/>
  <c r="D20" i="3"/>
  <c r="K25" i="3"/>
  <c r="I23" i="3"/>
  <c r="K18" i="3"/>
  <c r="J18" i="3"/>
  <c r="I18" i="3"/>
  <c r="H18" i="3"/>
  <c r="G18" i="3"/>
  <c r="F18" i="3"/>
  <c r="D18" i="3"/>
  <c r="J17" i="3"/>
  <c r="I17" i="3"/>
  <c r="H17" i="3"/>
  <c r="F17" i="3"/>
  <c r="D17" i="3"/>
  <c r="K14" i="3"/>
  <c r="J14" i="3"/>
  <c r="I14" i="3"/>
  <c r="H14" i="3"/>
  <c r="G14" i="3"/>
  <c r="F14" i="3"/>
  <c r="D13" i="3"/>
  <c r="D11" i="3"/>
  <c r="D10" i="3"/>
  <c r="D12" i="3" s="1"/>
  <c r="D14" i="3" s="1"/>
  <c r="D9" i="3"/>
  <c r="L5" i="3"/>
  <c r="G8" i="6" l="1"/>
  <c r="G9" i="6" s="1"/>
  <c r="F8" i="6"/>
  <c r="F9" i="6" s="1"/>
  <c r="F14" i="6"/>
  <c r="F15" i="6" s="1"/>
  <c r="G39" i="6"/>
  <c r="G53" i="6" s="1"/>
  <c r="G67" i="6"/>
  <c r="I67" i="6" s="1"/>
  <c r="G14" i="6"/>
  <c r="I29" i="3"/>
  <c r="H30" i="3"/>
  <c r="G46" i="6"/>
  <c r="G45" i="6"/>
  <c r="F46" i="6"/>
  <c r="F45" i="6"/>
  <c r="J21" i="3"/>
  <c r="J23" i="3"/>
  <c r="K26" i="3"/>
  <c r="K24" i="3"/>
  <c r="K22" i="3"/>
  <c r="G29" i="3"/>
  <c r="F30" i="3"/>
  <c r="J30" i="3"/>
  <c r="G16" i="4"/>
  <c r="G26" i="4"/>
  <c r="H14" i="4"/>
  <c r="H26" i="4"/>
  <c r="H31" i="4" s="1"/>
  <c r="G22" i="4"/>
  <c r="H16" i="4"/>
  <c r="G14" i="4"/>
  <c r="F29" i="3"/>
  <c r="I30" i="3"/>
  <c r="J29" i="3"/>
  <c r="H29" i="3"/>
  <c r="G30" i="3"/>
  <c r="O5" i="3"/>
  <c r="N5" i="3"/>
  <c r="M5" i="3"/>
  <c r="F21" i="3"/>
  <c r="H22" i="3"/>
  <c r="G21" i="3"/>
  <c r="E22" i="3"/>
  <c r="I22" i="3"/>
  <c r="K23" i="3"/>
  <c r="I24" i="3"/>
  <c r="I25" i="3"/>
  <c r="H21" i="3"/>
  <c r="F22" i="3"/>
  <c r="J22" i="3"/>
  <c r="J24" i="3"/>
  <c r="J25" i="3"/>
  <c r="E21" i="3"/>
  <c r="I21" i="3"/>
  <c r="F16" i="6" l="1"/>
  <c r="F31" i="7"/>
  <c r="G55" i="6"/>
  <c r="F29" i="5"/>
  <c r="G15" i="6"/>
  <c r="F66" i="6"/>
  <c r="H66" i="6" s="1"/>
  <c r="F30" i="7"/>
  <c r="G66" i="6"/>
  <c r="I66" i="6" s="1"/>
  <c r="G16" i="6"/>
  <c r="F20" i="6"/>
  <c r="F21" i="6" s="1"/>
  <c r="F64" i="6"/>
  <c r="F10" i="6"/>
  <c r="G64" i="6"/>
  <c r="G10" i="6"/>
  <c r="E16" i="7"/>
  <c r="F16" i="7"/>
  <c r="F18" i="7" l="1"/>
  <c r="F17" i="7"/>
  <c r="F19" i="7" s="1"/>
  <c r="F12" i="7"/>
  <c r="I64" i="6"/>
  <c r="H64" i="6"/>
  <c r="F22" i="6"/>
  <c r="F68" i="6"/>
  <c r="H68" i="6" s="1"/>
  <c r="F11" i="7" l="1"/>
  <c r="F20" i="7"/>
  <c r="D29" i="2" s="1"/>
  <c r="F13" i="7"/>
  <c r="D28" i="2" s="1"/>
  <c r="D27" i="2"/>
  <c r="F21" i="7" l="1"/>
  <c r="D30" i="2" s="1"/>
  <c r="C19" i="2"/>
  <c r="C21" i="2"/>
  <c r="D21" i="2"/>
  <c r="D19" i="2" l="1"/>
  <c r="L28" i="3"/>
  <c r="L30" i="3" s="1"/>
  <c r="E6" i="4" l="1"/>
  <c r="F6" i="4" l="1"/>
  <c r="M28" i="3"/>
  <c r="M30" i="3" s="1"/>
  <c r="E20" i="4"/>
  <c r="E18" i="4"/>
  <c r="E12" i="4"/>
  <c r="E32" i="4" s="1"/>
  <c r="E22" i="4"/>
  <c r="E26" i="4"/>
  <c r="E28" i="4"/>
  <c r="E10" i="4"/>
  <c r="E31" i="4" s="1"/>
  <c r="E31" i="7" s="1"/>
  <c r="E8" i="4"/>
  <c r="E30" i="4" s="1"/>
  <c r="E29" i="5" s="1"/>
  <c r="F22" i="4" l="1"/>
  <c r="F18" i="4"/>
  <c r="F24" i="4"/>
  <c r="F30" i="4" s="1"/>
  <c r="F28" i="4"/>
  <c r="F10" i="4"/>
  <c r="F16" i="4"/>
  <c r="F20" i="4"/>
  <c r="F12" i="4"/>
  <c r="F32" i="4" s="1"/>
  <c r="E32" i="7" s="1"/>
  <c r="E10" i="7" s="1"/>
  <c r="F14" i="4"/>
  <c r="F26" i="4"/>
  <c r="H8" i="4"/>
  <c r="N28" i="3"/>
  <c r="N30" i="3" s="1"/>
  <c r="O28" i="3"/>
  <c r="O30" i="3" l="1"/>
  <c r="H30" i="4"/>
  <c r="F28" i="5" s="1"/>
  <c r="G11" i="6"/>
  <c r="G12" i="6" s="1"/>
  <c r="E28" i="5"/>
  <c r="F11" i="6"/>
  <c r="F12" i="6" s="1"/>
  <c r="F31" i="4"/>
  <c r="E30" i="7" s="1"/>
  <c r="E9" i="7"/>
  <c r="E18" i="7" l="1"/>
  <c r="E17" i="7"/>
  <c r="F13" i="6"/>
  <c r="F65" i="6"/>
  <c r="F23" i="6"/>
  <c r="G65" i="6"/>
  <c r="G13" i="6"/>
  <c r="G23" i="6"/>
  <c r="E12" i="7"/>
  <c r="E11" i="7"/>
  <c r="E14" i="5"/>
  <c r="E16" i="5" s="1"/>
  <c r="E11" i="5"/>
  <c r="E13" i="5" s="1"/>
  <c r="E12" i="5"/>
  <c r="E8" i="5"/>
  <c r="E10" i="5" s="1"/>
  <c r="E9" i="5"/>
  <c r="E15" i="5"/>
  <c r="F8" i="5"/>
  <c r="F10" i="5" s="1"/>
  <c r="F14" i="5"/>
  <c r="F16" i="5" s="1"/>
  <c r="F12" i="5"/>
  <c r="F9" i="5"/>
  <c r="F15" i="5"/>
  <c r="F11" i="5"/>
  <c r="F13" i="5" s="1"/>
  <c r="G25" i="6" l="1"/>
  <c r="D14" i="2"/>
  <c r="G28" i="6"/>
  <c r="G29" i="6" s="1"/>
  <c r="H65" i="6"/>
  <c r="F69" i="6"/>
  <c r="G69" i="6"/>
  <c r="G24" i="6" s="1"/>
  <c r="D15" i="2" s="1"/>
  <c r="I65" i="6"/>
  <c r="E19" i="7"/>
  <c r="E20" i="7"/>
  <c r="E13" i="7"/>
  <c r="C28" i="2" s="1"/>
  <c r="C27" i="2"/>
  <c r="F28" i="6"/>
  <c r="F31" i="6" s="1"/>
  <c r="F24" i="6"/>
  <c r="C15" i="2" s="1"/>
  <c r="F25" i="6"/>
  <c r="C14" i="2"/>
  <c r="F29" i="6"/>
  <c r="E21" i="7" l="1"/>
  <c r="C30" i="2" s="1"/>
  <c r="C29" i="2"/>
  <c r="C18" i="2"/>
  <c r="C22" i="2"/>
  <c r="F33" i="6"/>
  <c r="G26" i="6"/>
  <c r="D17" i="2" s="1"/>
  <c r="D16" i="2"/>
  <c r="G30" i="6"/>
  <c r="C16" i="2"/>
  <c r="F26" i="6"/>
  <c r="C17" i="2" s="1"/>
  <c r="F30" i="6"/>
  <c r="G31" i="6"/>
  <c r="D18" i="2" l="1"/>
  <c r="G33" i="6"/>
  <c r="D22" i="2"/>
  <c r="C23" i="2"/>
  <c r="C20" i="2"/>
  <c r="D23" i="2" l="1"/>
  <c r="D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<sst xmlns="http://schemas.openxmlformats.org/spreadsheetml/2006/main" count="402" uniqueCount="314">
  <si>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</si>
  <si>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</si>
  <si>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</si>
  <si>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</si>
  <si>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</si>
  <si>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</si>
  <si>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</si>
  <si>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</si>
  <si>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</si>
  <si>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</si>
  <si>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</si>
  <si>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</si>
  <si>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</si>
  <si>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</si>
  <si>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</si>
  <si>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</si>
  <si>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</si>
  <si>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</si>
  <si>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</si>
  <si>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</si>
  <si>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</si>
  <si>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</si>
  <si>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</si>
  <si>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</si>
  <si>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</si>
  <si>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</si>
  <si>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</si>
  <si>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</si>
  <si>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</si>
  <si>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</si>
  <si>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</si>
  <si>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</si>
  <si>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</si>
  <si>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</si>
  <si>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</si>
  <si>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</si>
  <si>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Is GG expenditure growth limiting rule valid?</t>
  </si>
  <si>
    <t>VS priskiriamų biudžetų taisyklės / Rules for the budgets attributable to GG sector</t>
  </si>
  <si>
    <t>Netikrinama</t>
  </si>
  <si>
    <r>
      <t xml:space="preserve">Savivaldybių (j), kurių asignavimai didesni nei 0,3 proc. nominalaus BVP, </t>
    </r>
    <r>
      <rPr>
        <sz val="11"/>
        <color rgb="FF000000"/>
        <rFont val="Arial"/>
        <family val="2"/>
        <charset val="186"/>
      </rPr>
      <t>struktūrinio biudžeto (SB) taisyklė</t>
    </r>
  </si>
  <si>
    <t>Structural budget rule for local governments (j) with appropriations  exceeding 0,3 % of nominal GDP</t>
  </si>
  <si>
    <t>Taisyklė PSDF struktūriniam biudžetui</t>
  </si>
  <si>
    <t>Rule for NHIF structural budget</t>
  </si>
  <si>
    <t>Taisyklė VSDF struktūriniam biudžetui</t>
  </si>
  <si>
    <t>Rule for SSIF structural budget</t>
  </si>
  <si>
    <t>Taisyklė savivaldybių (j) asignavimams, kurie neviršija 0,3 proc. BVP</t>
  </si>
  <si>
    <t>Rule for local governments (j) appropriations of which does not exceed 0.3 % of GDP</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</si>
  <si>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</si>
  <si>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</si>
  <si>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</si>
  <si>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</si>
  <si>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</si>
  <si>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</si>
  <si>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</si>
  <si>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</si>
  <si>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</si>
  <si>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</si>
  <si>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t>Laikas / Time</t>
  </si>
  <si>
    <t>T</t>
  </si>
  <si>
    <t>t−2</t>
  </si>
  <si>
    <t>t−1</t>
  </si>
  <si>
    <t>t</t>
  </si>
  <si>
    <t>t+1</t>
  </si>
  <si>
    <t>t+2</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</si>
  <si>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</si>
  <si>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</si>
  <si>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</si>
  <si>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</si>
  <si>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</si>
  <si>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</si>
  <si>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</si>
  <si>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</si>
  <si>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</si>
  <si>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</si>
  <si>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</si>
  <si>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</si>
  <si>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</si>
  <si>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</si>
  <si>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</si>
  <si>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</si>
  <si>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</si>
  <si>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</si>
  <si>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</si>
  <si>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</si>
  <si>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2015 = 100
</t>
    </r>
    <r>
      <rPr>
        <i/>
        <sz val="11"/>
        <color rgb="FF000000"/>
        <rFont val="Arial"/>
        <family val="2"/>
        <charset val="186"/>
      </rPr>
      <t>GDP deflator, 2015 = 100</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</si>
  <si>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</si>
  <si>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</si>
  <si>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</si>
  <si>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</si>
  <si>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</si>
  <si>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</si>
  <si>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</si>
  <si>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</si>
  <si>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</si>
  <si>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</si>
  <si>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</si>
  <si>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</si>
  <si>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</si>
  <si>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</si>
  <si>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</si>
  <si>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</si>
  <si>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</si>
  <si>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Europos Komisija, Eurostatas, Lietuvos statistikos departamentas</t>
  </si>
  <si>
    <t>Finansų ministerija (FM)</t>
  </si>
  <si>
    <t>Valstybės kontrolės, vykdančios fiskalinės institucijos funkcijas, skaičiavimai</t>
  </si>
  <si>
    <t>National Audit Office of Lithuania, implementing the functions of the fiscal institution, calculations</t>
  </si>
  <si>
    <t>ERS – ekonominės raidos scenarijus</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</si>
  <si>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</si>
  <si>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</si>
  <si>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</si>
  <si>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</si>
  <si>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</si>
  <si>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</si>
  <si>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</si>
  <si>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</si>
  <si>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</si>
  <si>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</si>
  <si>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</si>
  <si>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</si>
  <si>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</si>
  <si>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</si>
  <si>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</si>
  <si>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</si>
  <si>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</si>
  <si>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</si>
  <si>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</si>
  <si>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</si>
  <si>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</si>
  <si>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</si>
  <si>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</si>
  <si>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</si>
  <si>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</si>
  <si>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</si>
  <si>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</si>
  <si>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</si>
  <si>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</si>
  <si>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</si>
  <si>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</si>
  <si>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</si>
  <si>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</si>
  <si>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</si>
  <si>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</si>
  <si>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</si>
  <si>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</si>
  <si>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</si>
  <si>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</si>
  <si>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</si>
  <si>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</si>
  <si>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</si>
  <si>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</si>
  <si>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</si>
  <si>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</si>
  <si>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</si>
  <si>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</si>
  <si>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</si>
  <si>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</si>
  <si>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</si>
  <si>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</si>
  <si>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t>VS yra faktiškai perteklinis t metais pagal struktūrinį balansą</t>
  </si>
  <si>
    <t>SB(t) &gt; 0*</t>
  </si>
  <si>
    <t xml:space="preserve">In terms of structural balance GG sector is actually in surplus   </t>
  </si>
  <si>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</si>
  <si>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</si>
  <si>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</si>
  <si>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</si>
  <si>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</si>
  <si>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</si>
  <si>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</si>
  <si>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</si>
  <si>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</si>
  <si>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</si>
  <si>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</si>
  <si>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</si>
  <si>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</si>
  <si>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</si>
  <si>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</si>
  <si>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</si>
  <si>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</si>
  <si>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</si>
  <si>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</si>
  <si>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</si>
  <si>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</si>
  <si>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</si>
  <si>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</si>
  <si>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</si>
  <si>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</si>
  <si>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</si>
  <si>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</si>
  <si>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</si>
  <si>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</si>
  <si>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</si>
  <si>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</si>
  <si>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</si>
  <si>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</si>
  <si>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t>Numatomas VS balanso rodiklio postūmis yra teigiamas ir sudaro bent 1,0 procentinį punktą BVP</t>
  </si>
  <si>
    <t>Projected GG sector balance indicator adjustment is positive and makes up at least 1.0 percentage point of GDP</t>
  </si>
  <si>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</si>
  <si>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</si>
  <si>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t>Keičiant einamųjų metų bet kurio iš VS priskiriamų biudžetų, kurių kiekvieno atskirai planuojami asignavimai viršija 3 procentus BVP to meto kainomis, pajamas ar išlaidas, pakeistas VS balansas nepablogės, palyginti su buvusiu prieš keitimą</t>
  </si>
  <si>
    <t>If planned current year GG sector budgets, the planned appropriations of each of which exceed 3 % of GDP at current prices, are subject to amendment,  the adjusted aggregate balances of the GG budgets is not worse than the one before the amendment</t>
  </si>
  <si>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</si>
  <si>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</si>
  <si>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</si>
  <si>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</si>
  <si>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t>at year t the GG expenditure growth limiting rule is not applied when at least one of the  A1–A5 escape clauses emerges</t>
  </si>
  <si>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</si>
  <si>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</si>
  <si>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</si>
  <si>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nelygybės ženklas yra griežtas, jei skirtumas tarp lyginamų pusių po apvalinimo sudaro bent 0,1, kitaip ženklas interpretuojamas kaip =
** einamaisiais metais keičiamas VS balansas</t>
  </si>
  <si>
    <t>Šaltinis: KĮ 3 straipsnis 3 dalis</t>
  </si>
  <si>
    <t>Source: CL Article 3(3)</t>
  </si>
  <si>
    <t>AV3(t) =</t>
  </si>
  <si>
    <t>AV3(t–1) =</t>
  </si>
  <si>
    <t>ES(t) =</t>
  </si>
  <si>
    <t>ES(t–1) =</t>
  </si>
  <si>
    <t>VI(t) =</t>
  </si>
  <si>
    <t>VI(t–1) =</t>
  </si>
  <si>
    <t>B(t–1)–B(t–2) =</t>
  </si>
  <si>
    <t>BP(t–1)–BP(t–2) =</t>
  </si>
  <si>
    <t>P1(t)/P1(t–1) =</t>
  </si>
  <si>
    <t>P2(t)/P2(t–1) =</t>
  </si>
  <si>
    <t>P3(t)/P3(t–1) =</t>
  </si>
  <si>
    <t>P4(t)/P4(t–1) =</t>
  </si>
  <si>
    <t>ΔYN(t–1) =</t>
  </si>
  <si>
    <t>AP(t)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</si>
  <si>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</si>
  <si>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</si>
  <si>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</si>
  <si>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</si>
  <si>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</si>
  <si>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</si>
  <si>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</si>
  <si>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</si>
  <si>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</si>
  <si>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</si>
  <si>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</si>
  <si>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</si>
  <si>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t>Nuo 2018 m. sausio 1 d. kiekvienas j-asis vietos valdžios sektoriui priskiriamas biudžetas, kurio asignavimai viršija 0,3 procentą praėjusių metų BVP to meto kainomis, turi būti planuojamas, tvirtinamas, keičiamas ir vykdomas taip, kad, sprendžiant pagal to biudžeto struktūrinį balanso rodiklį, apskaičiuotą kaupiamuoju principu, jis būtų perteklinis arba subalansuotas</t>
  </si>
  <si>
    <r>
      <t>SB</t>
    </r>
    <r>
      <rPr>
        <vertAlign val="subscript"/>
        <sz val="11"/>
        <color rgb="FF000000"/>
        <rFont val="Arial"/>
        <family val="2"/>
        <charset val="186"/>
      </rPr>
      <t>j</t>
    </r>
    <r>
      <rPr>
        <sz val="11"/>
        <color rgb="FF000000"/>
        <rFont val="Arial"/>
        <family val="2"/>
        <charset val="186"/>
      </rPr>
      <t>(t) ≥ 0, ꓯj</t>
    </r>
  </si>
  <si>
    <t>From 1 January 2018 each j-th budget attributable to local government sector, planned appropriations of which exceeds 0.3 % of GDP in the preceding year at current prices, must be planned, approved, amended and implemented to be in surplus or balanced when judged by its structural balance indicator calculated on accrual basis</t>
  </si>
  <si>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</si>
  <si>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</si>
  <si>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</si>
  <si>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</si>
  <si>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</si>
  <si>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</si>
  <si>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</si>
  <si>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</si>
  <si>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t>Rule for VSDF structural budget</t>
  </si>
  <si>
    <t>Nuo 2016 m. sausio 1 d.  kiekvienas j-asis vietos valdžios sektoriui priskiriamas biudžetas, kurio asignavimai neviršija 0,3 procento praėjusių metų BVP to meto kainomis, turi būti planuojamas, tvirtinamas, keičiamas ir vykdomas taip, kad to biudžeto asignavimai neviršytų jo pajamų, išskyrus metus, kuriais pagal Vyriausybės arba jos įgaliotos institucijos viešai paskelbtą ekonominės raidos scenarijų, dėl kurio tvirtinimo kontrolės institucija paskelbė savo išvadą, numatomas neigiamas produkcijos atotrūkis nuo potencialo. Pastaruoju atveju asignavimai negali viršyti pajamų daugiau kaip 1,5 procento</t>
  </si>
  <si>
    <t>AP(t) ≥ 0 &amp; 
VIj(t)/VPj(t) ≤ 1</t>
  </si>
  <si>
    <t>From 1 January 2016 each j-th budget attributable to local government sector, planned appropriations of which does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</si>
  <si>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AP(t) &lt; 0 &amp; 
VIj(t)/VPj(t) ≤ 1,015</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</si>
  <si>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</si>
  <si>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</si>
  <si>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</si>
  <si>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</si>
  <si>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</si>
  <si>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</si>
  <si>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t>Nuo 2018 m. sausio 1 d. PSDF biudžetas turi būti planuojamas, tvirtinamas, keičiamas ir vykdomas taip, kad, sprendžiant pagal to biudžeto struktūrinį balanso rodiklį, apskaičiuotą kaupiamuoju principu, jis būtų perteklinis arba subalansuotas</t>
  </si>
  <si>
    <t>t−8</t>
  </si>
  <si>
    <t>t−7</t>
  </si>
  <si>
    <t>t−6</t>
  </si>
  <si>
    <t>t−5</t>
  </si>
  <si>
    <t>t−4</t>
  </si>
  <si>
    <t>t−3</t>
  </si>
  <si>
    <t>* inequality sign is strict, if a difference between both compared sides after rounding is at least 0.1,  else the sign is interpreted as =
** the adjusted aggregate balances of the GG budgets</t>
  </si>
  <si>
    <t>2021 m. pavasario ERS</t>
  </si>
  <si>
    <t>B3(t) ≥ B3**(t)</t>
  </si>
  <si>
    <t>B3**(t) =</t>
  </si>
  <si>
    <t>B3(t) =</t>
  </si>
  <si>
    <t>2022 P</t>
  </si>
  <si>
    <t>B(t) − B(t–1) ≥ 1</t>
  </si>
  <si>
    <r>
      <rPr>
        <sz val="11"/>
        <rFont val="Arial"/>
        <family val="2"/>
        <charset val="186"/>
      </rPr>
      <t xml:space="preserve">2022 Projekcijos </t>
    </r>
    <r>
      <rPr>
        <i/>
        <sz val="11"/>
        <rFont val="Arial"/>
        <family val="2"/>
        <charset val="186"/>
      </rPr>
      <t xml:space="preserve">/ </t>
    </r>
    <r>
      <rPr>
        <sz val="11"/>
        <rFont val="Arial"/>
        <family val="2"/>
        <charset val="186"/>
      </rPr>
      <t>Projections</t>
    </r>
  </si>
  <si>
    <t>2023 P</t>
  </si>
  <si>
    <t>Will be assessed in June 2023</t>
  </si>
  <si>
    <t>Savivaldybių biudžetų atitiktis fiskalinės drausmės taisyklėms bus vertinama 2023 m. birželio mėn.</t>
  </si>
  <si>
    <t>2021K3-2022K2</t>
  </si>
  <si>
    <t>2022 m. rudens ERS</t>
  </si>
  <si>
    <t>2021 m. rudens EK projekcijos</t>
  </si>
  <si>
    <t>2022 m. pavasario EK projekcijos</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</si>
  <si>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augimą ribojimo taisyklė ir VS priskiriamų biudžetų taisyklės.
</t>
    </r>
    <r>
      <rPr>
        <i/>
        <sz val="11"/>
        <color theme="7" tint="-0.499984740745262"/>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</si>
  <si>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r>
      <t>SUVESTINĖ /</t>
    </r>
    <r>
      <rPr>
        <i/>
        <sz val="12"/>
        <color theme="7" tint="-0.499984740745262"/>
        <rFont val="Arial"/>
        <family val="2"/>
        <charset val="186"/>
      </rPr>
      <t xml:space="preserve"> </t>
    </r>
    <r>
      <rPr>
        <sz val="12"/>
        <color theme="7" tint="-0.499984740745262"/>
        <rFont val="Arial"/>
        <family val="2"/>
        <charset val="186"/>
      </rPr>
      <t>SUMMARY</t>
    </r>
  </si>
  <si>
    <r>
      <t xml:space="preserve">1. Fiskalinės drausmės taisyklių laikymosi suvestinė 2023 m.
</t>
    </r>
    <r>
      <rPr>
        <b/>
        <i/>
        <sz val="11"/>
        <color theme="7" tint="-0.499984740745262"/>
        <rFont val="Arial"/>
        <family val="2"/>
        <charset val="186"/>
      </rPr>
      <t>Summary of the fulfilment of the fiscal discipline rules in year 2023</t>
    </r>
  </si>
  <si>
    <r>
      <t xml:space="preserve">5. Perteklinio VS taisyklės sąlygos
</t>
    </r>
    <r>
      <rPr>
        <b/>
        <i/>
        <sz val="11"/>
        <color theme="7" tint="-0.499984740745262"/>
        <rFont val="Arial"/>
        <family val="2"/>
        <charset val="186"/>
      </rPr>
      <t>Conditions of the surplus GG sector rule</t>
    </r>
  </si>
  <si>
    <r>
      <t xml:space="preserve">6. VS išlaidų augimo ribojimo taisyklė
</t>
    </r>
    <r>
      <rPr>
        <b/>
        <i/>
        <sz val="11"/>
        <color theme="7" tint="-0.499984740745262"/>
        <rFont val="Arial"/>
        <family val="2"/>
        <charset val="186"/>
      </rPr>
      <t>GG expenditure growth limiting rule</t>
    </r>
  </si>
  <si>
    <r>
      <t xml:space="preserve">7. VS priskiriamų biudžetų taisyklės
</t>
    </r>
    <r>
      <rPr>
        <b/>
        <i/>
        <sz val="11"/>
        <color theme="7" tint="-0.499984740745262"/>
        <rFont val="Arial"/>
        <family val="2"/>
        <charset val="186"/>
      </rPr>
      <t>Rules for the budgets attributable to GG sector</t>
    </r>
  </si>
  <si>
    <r>
      <t>t metais, išskyrus metus, kuriais susidaro išskirtinės aplinkybės, turi būti tenkinama bent viena iš  S</t>
    </r>
    <r>
      <rPr>
        <b/>
        <vertAlign val="subscript"/>
        <sz val="11"/>
        <color theme="7" tint="-0.499984740745262"/>
        <rFont val="Arial"/>
        <family val="2"/>
        <charset val="186"/>
      </rPr>
      <t>1</t>
    </r>
    <r>
      <rPr>
        <b/>
        <sz val="11"/>
        <color theme="7" tint="-0.499984740745262"/>
        <rFont val="Arial"/>
        <family val="2"/>
        <charset val="186"/>
      </rPr>
      <t>–S</t>
    </r>
    <r>
      <rPr>
        <b/>
        <vertAlign val="subscript"/>
        <sz val="11"/>
        <color theme="7" tint="-0.499984740745262"/>
        <rFont val="Arial"/>
        <family val="2"/>
        <charset val="186"/>
      </rPr>
      <t xml:space="preserve">4 </t>
    </r>
    <r>
      <rPr>
        <b/>
        <sz val="11"/>
        <color theme="7" tint="-0.499984740745262"/>
        <rFont val="Arial"/>
        <family val="2"/>
        <charset val="186"/>
      </rPr>
      <t xml:space="preserve">sąlygų </t>
    </r>
  </si>
  <si>
    <r>
      <t xml:space="preserve">Nr.
</t>
    </r>
    <r>
      <rPr>
        <i/>
        <sz val="11"/>
        <color theme="7" tint="-0.499984740745262"/>
        <rFont val="Arial"/>
        <family val="2"/>
        <charset val="186"/>
      </rPr>
      <t>No.</t>
    </r>
  </si>
  <si>
    <r>
      <t xml:space="preserve">Taisyklė
</t>
    </r>
    <r>
      <rPr>
        <i/>
        <sz val="11"/>
        <color theme="7" tint="-0.499984740745262"/>
        <rFont val="Arial"/>
        <family val="2"/>
        <charset val="186"/>
      </rPr>
      <t>Rule</t>
    </r>
  </si>
  <si>
    <r>
      <t xml:space="preserve">Formulė 
</t>
    </r>
    <r>
      <rPr>
        <i/>
        <sz val="11"/>
        <color theme="7" tint="-0.499984740745262"/>
        <rFont val="Arial"/>
        <family val="2"/>
        <charset val="186"/>
      </rPr>
      <t>Formula</t>
    </r>
  </si>
  <si>
    <r>
      <t xml:space="preserve">Išvada
</t>
    </r>
    <r>
      <rPr>
        <i/>
        <sz val="11"/>
        <color theme="7" tint="-0.499984740745262"/>
        <rFont val="Arial"/>
        <family val="2"/>
        <charset val="186"/>
      </rPr>
      <t>Conclusion</t>
    </r>
  </si>
  <si>
    <r>
      <t>t metais, VS išlaidų augimo ribojimo taisyklė netaikoma, kai susidaro bent viena iš A</t>
    </r>
    <r>
      <rPr>
        <b/>
        <vertAlign val="subscript"/>
        <sz val="11"/>
        <color theme="7" tint="-0.499984740745262"/>
        <rFont val="Arial"/>
        <family val="2"/>
        <charset val="186"/>
      </rPr>
      <t>1</t>
    </r>
    <r>
      <rPr>
        <b/>
        <sz val="11"/>
        <color theme="7" tint="-0.499984740745262"/>
        <rFont val="Arial"/>
        <family val="2"/>
        <charset val="186"/>
      </rPr>
      <t>–A</t>
    </r>
    <r>
      <rPr>
        <b/>
        <vertAlign val="subscript"/>
        <sz val="11"/>
        <color theme="7" tint="-0.499984740745262"/>
        <rFont val="Arial"/>
        <family val="2"/>
        <charset val="186"/>
      </rPr>
      <t>5</t>
    </r>
    <r>
      <rPr>
        <b/>
        <sz val="11"/>
        <color theme="7" tint="-0.499984740745262"/>
        <rFont val="Arial"/>
        <family val="2"/>
        <charset val="186"/>
      </rPr>
      <t xml:space="preserve"> aplinkybių
</t>
    </r>
  </si>
  <si>
    <r>
      <t xml:space="preserve">Taisyklė savivaldybių (j) asignavimams, kurie viršija 0,3 proc. BVP
</t>
    </r>
    <r>
      <rPr>
        <b/>
        <i/>
        <sz val="11"/>
        <color theme="7" tint="-0.499984740745262"/>
        <rFont val="Arial"/>
        <family val="2"/>
        <charset val="186"/>
      </rPr>
      <t>Rule for local governments (j) appropriations of which exceed 0.3 % of GDP</t>
    </r>
  </si>
  <si>
    <r>
      <t>T</t>
    </r>
    <r>
      <rPr>
        <vertAlign val="subscript"/>
        <sz val="11"/>
        <color theme="7" tint="-0.499984740745262"/>
        <rFont val="Arial"/>
        <family val="2"/>
        <charset val="186"/>
      </rPr>
      <t>31</t>
    </r>
  </si>
  <si>
    <r>
      <t>T</t>
    </r>
    <r>
      <rPr>
        <vertAlign val="subscript"/>
        <sz val="11"/>
        <color theme="7" tint="-0.499984740745262"/>
        <rFont val="Arial"/>
        <family val="2"/>
        <charset val="186"/>
      </rPr>
      <t>32</t>
    </r>
  </si>
  <si>
    <r>
      <t>T</t>
    </r>
    <r>
      <rPr>
        <vertAlign val="subscript"/>
        <sz val="11"/>
        <color theme="7" tint="-0.499984740745262"/>
        <rFont val="Arial"/>
        <family val="2"/>
        <charset val="186"/>
      </rPr>
      <t>4</t>
    </r>
  </si>
  <si>
    <r>
      <t>T</t>
    </r>
    <r>
      <rPr>
        <vertAlign val="subscript"/>
        <sz val="11"/>
        <color theme="7" tint="-0.499984740745262"/>
        <rFont val="Arial"/>
        <family val="2"/>
        <charset val="186"/>
      </rPr>
      <t>5</t>
    </r>
  </si>
  <si>
    <r>
      <t xml:space="preserve">Nr.
</t>
    </r>
    <r>
      <rPr>
        <i/>
        <sz val="11"/>
        <color rgb="FF000000"/>
        <rFont val="Arial"/>
        <family val="2"/>
      </rPr>
      <t>No.</t>
    </r>
  </si>
  <si>
    <r>
      <t xml:space="preserve">Taisyklė
</t>
    </r>
    <r>
      <rPr>
        <i/>
        <sz val="11"/>
        <color rgb="FF000000"/>
        <rFont val="Arial"/>
        <family val="2"/>
      </rPr>
      <t>Rule</t>
    </r>
  </si>
  <si>
    <r>
      <t xml:space="preserve">Formulė
</t>
    </r>
    <r>
      <rPr>
        <i/>
        <sz val="11"/>
        <color rgb="FF000000"/>
        <rFont val="Arial"/>
        <family val="2"/>
      </rPr>
      <t>Formula</t>
    </r>
  </si>
  <si>
    <r>
      <t xml:space="preserve">Išvada
</t>
    </r>
    <r>
      <rPr>
        <i/>
        <sz val="11"/>
        <rFont val="Arial"/>
        <family val="2"/>
      </rPr>
      <t>Conclusion</t>
    </r>
  </si>
  <si>
    <r>
      <rPr>
        <sz val="11"/>
        <color theme="7" tint="-0.499984740745262"/>
        <rFont val="Arial"/>
        <family val="2"/>
        <charset val="186"/>
      </rPr>
      <t>A</t>
    </r>
    <r>
      <rPr>
        <vertAlign val="subscript"/>
        <sz val="11"/>
        <color theme="7" tint="-0.499984740745262"/>
        <rFont val="Arial"/>
        <family val="2"/>
        <charset val="186"/>
      </rPr>
      <t>1</t>
    </r>
  </si>
  <si>
    <r>
      <rPr>
        <sz val="11"/>
        <color theme="7" tint="-0.499984740745262"/>
        <rFont val="Arial"/>
        <family val="2"/>
        <charset val="186"/>
      </rPr>
      <t>A</t>
    </r>
    <r>
      <rPr>
        <vertAlign val="subscript"/>
        <sz val="11"/>
        <color theme="7" tint="-0.499984740745262"/>
        <rFont val="Arial"/>
        <family val="2"/>
        <charset val="186"/>
      </rPr>
      <t>2</t>
    </r>
  </si>
  <si>
    <r>
      <rPr>
        <sz val="11"/>
        <color theme="7" tint="-0.499984740745262"/>
        <rFont val="Arial"/>
        <family val="2"/>
        <charset val="186"/>
      </rPr>
      <t>A</t>
    </r>
    <r>
      <rPr>
        <vertAlign val="subscript"/>
        <sz val="11"/>
        <color theme="7" tint="-0.499984740745262"/>
        <rFont val="Arial"/>
        <family val="2"/>
        <charset val="186"/>
      </rPr>
      <t>3</t>
    </r>
  </si>
  <si>
    <r>
      <rPr>
        <sz val="11"/>
        <color theme="7" tint="-0.499984740745262"/>
        <rFont val="Arial"/>
        <family val="2"/>
        <charset val="186"/>
      </rPr>
      <t>A</t>
    </r>
    <r>
      <rPr>
        <vertAlign val="subscript"/>
        <sz val="11"/>
        <color theme="7" tint="-0.499984740745262"/>
        <rFont val="Arial"/>
        <family val="2"/>
        <charset val="186"/>
      </rPr>
      <t>4</t>
    </r>
  </si>
  <si>
    <r>
      <rPr>
        <sz val="11"/>
        <color theme="7" tint="-0.499984740745262"/>
        <rFont val="Arial"/>
        <family val="2"/>
        <charset val="186"/>
      </rPr>
      <t>A</t>
    </r>
    <r>
      <rPr>
        <vertAlign val="subscript"/>
        <sz val="11"/>
        <color theme="7" tint="-0.499984740745262"/>
        <rFont val="Arial"/>
        <family val="2"/>
        <charset val="186"/>
      </rPr>
      <t>5</t>
    </r>
  </si>
  <si>
    <r>
      <t>T</t>
    </r>
    <r>
      <rPr>
        <vertAlign val="subscript"/>
        <sz val="11"/>
        <color theme="7" tint="-0.499984740745262"/>
        <rFont val="Arial"/>
        <family val="2"/>
        <charset val="186"/>
      </rPr>
      <t>1</t>
    </r>
  </si>
  <si>
    <r>
      <t>S</t>
    </r>
    <r>
      <rPr>
        <vertAlign val="subscript"/>
        <sz val="11"/>
        <color theme="7" tint="-0.499984740745262"/>
        <rFont val="Arial"/>
        <family val="2"/>
        <charset val="186"/>
      </rPr>
      <t>1</t>
    </r>
  </si>
  <si>
    <r>
      <t>S</t>
    </r>
    <r>
      <rPr>
        <vertAlign val="subscript"/>
        <sz val="11"/>
        <color theme="7" tint="-0.499984740745262"/>
        <rFont val="Arial"/>
        <family val="2"/>
        <charset val="186"/>
      </rPr>
      <t>2</t>
    </r>
    <r>
      <rPr>
        <sz val="11"/>
        <color theme="1"/>
        <rFont val="Calibri"/>
        <family val="2"/>
        <charset val="186"/>
        <scheme val="minor"/>
      </rPr>
      <t/>
    </r>
  </si>
  <si>
    <r>
      <t>S</t>
    </r>
    <r>
      <rPr>
        <vertAlign val="subscript"/>
        <sz val="11"/>
        <color theme="7" tint="-0.499984740745262"/>
        <rFont val="Arial"/>
        <family val="2"/>
        <charset val="186"/>
      </rPr>
      <t>3</t>
    </r>
    <r>
      <rPr>
        <sz val="11"/>
        <color theme="1"/>
        <rFont val="Calibri"/>
        <family val="2"/>
        <charset val="186"/>
        <scheme val="minor"/>
      </rPr>
      <t/>
    </r>
  </si>
  <si>
    <r>
      <t>S</t>
    </r>
    <r>
      <rPr>
        <vertAlign val="subscript"/>
        <sz val="11"/>
        <color theme="7" tint="-0.499984740745262"/>
        <rFont val="Arial"/>
        <family val="2"/>
        <charset val="186"/>
      </rPr>
      <t>4</t>
    </r>
    <r>
      <rPr>
        <sz val="11"/>
        <color theme="1"/>
        <rFont val="Calibri"/>
        <family val="2"/>
        <charset val="186"/>
        <scheme val="minor"/>
      </rPr>
      <t/>
    </r>
  </si>
  <si>
    <t>2022 rudens ERS duomenys</t>
  </si>
  <si>
    <t>2022-10-28 BPE–9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</si>
</sst>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 numFmtId="174" formatCode="0;\ \–0"/>
  </numFmts>
  <fonts count="51"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b/>
      <sz val="9"/>
      <name val="Arial"/>
      <family val="2"/>
      <charset val="186"/>
    </font>
    <font>
      <sz val="8"/>
      <color rgb="FFFF0000"/>
      <name val="Arial"/>
      <family val="2"/>
      <charset val="186"/>
    </font>
    <font>
      <sz val="11"/>
      <color rgb="FF000000"/>
      <name val="Calibri"/>
      <family val="2"/>
      <charset val="186"/>
    </font>
    <font>
      <sz val="10"/>
      <color rgb="FF00244D"/>
      <name val="Arial"/>
      <family val="2"/>
      <charset val="186"/>
    </font>
    <font>
      <sz val="11"/>
      <name val="Calibri Light"/>
      <family val="2"/>
      <charset val="186"/>
      <scheme val="major"/>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8"/>
      <color rgb="FF000000"/>
      <name val="Arial"/>
      <family val="2"/>
      <charset val="186"/>
    </font>
    <font>
      <sz val="11"/>
      <color theme="7" tint="-0.499984740745262"/>
      <name val="Arial"/>
      <family val="2"/>
      <charset val="186"/>
    </font>
    <font>
      <sz val="12"/>
      <color theme="7" tint="-0.499984740745262"/>
      <name val="Arial"/>
      <family val="2"/>
      <charset val="186"/>
    </font>
    <font>
      <sz val="14"/>
      <color theme="7" tint="-0.499984740745262"/>
      <name val="Arial"/>
      <family val="2"/>
      <charset val="186"/>
    </font>
    <font>
      <i/>
      <sz val="11"/>
      <color theme="7" tint="-0.499984740745262"/>
      <name val="Arial"/>
      <family val="2"/>
      <charset val="186"/>
    </font>
    <font>
      <i/>
      <sz val="12"/>
      <color theme="7" tint="-0.499984740745262"/>
      <name val="Arial"/>
      <family val="2"/>
      <charset val="186"/>
    </font>
    <font>
      <u/>
      <sz val="11"/>
      <color theme="7" tint="-0.499984740745262"/>
      <name val="Arial"/>
      <family val="2"/>
      <charset val="186"/>
    </font>
    <font>
      <i/>
      <u/>
      <sz val="11"/>
      <color theme="7" tint="-0.499984740745262"/>
      <name val="Arial"/>
      <family val="2"/>
      <charset val="186"/>
    </font>
    <font>
      <b/>
      <sz val="11"/>
      <color theme="7" tint="-0.499984740745262"/>
      <name val="Arial"/>
      <family val="2"/>
      <charset val="186"/>
    </font>
    <font>
      <b/>
      <i/>
      <sz val="11"/>
      <color theme="7" tint="-0.499984740745262"/>
      <name val="Arial"/>
      <family val="2"/>
      <charset val="186"/>
    </font>
    <font>
      <b/>
      <vertAlign val="subscript"/>
      <sz val="11"/>
      <color theme="7" tint="-0.499984740745262"/>
      <name val="Arial"/>
      <family val="2"/>
      <charset val="186"/>
    </font>
    <font>
      <sz val="10"/>
      <color theme="7" tint="-0.499984740745262"/>
      <name val="Arial"/>
      <family val="2"/>
      <charset val="186"/>
    </font>
    <font>
      <i/>
      <sz val="10"/>
      <color theme="7" tint="-0.499984740745262"/>
      <name val="Arial"/>
      <family val="2"/>
      <charset val="186"/>
    </font>
    <font>
      <vertAlign val="subscript"/>
      <sz val="11"/>
      <color theme="7" tint="-0.499984740745262"/>
      <name val="Arial"/>
      <family val="2"/>
      <charset val="186"/>
    </font>
    <font>
      <sz val="11"/>
      <color rgb="FF000000"/>
      <name val="Arial"/>
      <family val="2"/>
    </font>
    <font>
      <i/>
      <sz val="11"/>
      <color rgb="FF000000"/>
      <name val="Arial"/>
      <family val="2"/>
    </font>
    <font>
      <sz val="11"/>
      <name val="Arial"/>
      <family val="2"/>
    </font>
    <font>
      <i/>
      <sz val="11"/>
      <name val="Arial"/>
      <family val="2"/>
    </font>
  </fonts>
  <fills count="13">
    <fill>
      <patternFill patternType="none"/>
    </fill>
    <fill>
      <patternFill patternType="gray125"/>
    </fill>
    <fill>
      <patternFill patternType="solid">
        <fgColor rgb="FFC9D6D9"/>
        <bgColor indexed="64"/>
      </patternFill>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7" tint="0.59999389629810485"/>
        <bgColor rgb="FF000000"/>
      </patternFill>
    </fill>
    <fill>
      <patternFill patternType="solid">
        <fgColor theme="9" tint="0.39997558519241921"/>
        <bgColor rgb="FF000000"/>
      </patternFill>
    </fill>
    <fill>
      <patternFill patternType="solid">
        <fgColor theme="9" tint="0.39997558519241921"/>
        <bgColor indexed="64"/>
      </patternFill>
    </fill>
    <fill>
      <patternFill patternType="solid">
        <fgColor theme="7" tint="0.59999389629810485"/>
        <bgColor indexed="64"/>
      </patternFill>
    </fill>
    <fill>
      <patternFill patternType="solid">
        <fgColor theme="2" tint="0.39997558519241921"/>
        <bgColor rgb="FF000000"/>
      </patternFill>
    </fill>
  </fills>
  <borders count="90">
    <border>
      <left/>
      <right/>
      <top/>
      <bottom/>
      <diagonal/>
    </border>
    <border>
      <left/>
      <right/>
      <top style="medium">
        <color rgb="FF00244D"/>
      </top>
      <bottom/>
      <diagonal/>
    </border>
    <border>
      <left style="medium">
        <color rgb="FF00244D"/>
      </left>
      <right/>
      <top/>
      <bottom/>
      <diagonal/>
    </border>
    <border>
      <left/>
      <right style="medium">
        <color rgb="FF00244D"/>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244D"/>
      </left>
      <right style="medium">
        <color rgb="FF00244D"/>
      </right>
      <top/>
      <bottom/>
      <diagonal/>
    </border>
    <border>
      <left/>
      <right/>
      <top/>
      <bottom style="thin">
        <color rgb="FF00244D"/>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rgb="FF00244D"/>
      </bottom>
      <diagonal/>
    </border>
    <border>
      <left/>
      <right/>
      <top style="medium">
        <color theme="7"/>
      </top>
      <bottom style="medium">
        <color rgb="FF00244D"/>
      </bottom>
      <diagonal/>
    </border>
    <border>
      <left/>
      <right style="medium">
        <color theme="7"/>
      </right>
      <top style="medium">
        <color theme="7"/>
      </top>
      <bottom style="medium">
        <color rgb="FF00244D"/>
      </bottom>
      <diagonal/>
    </border>
    <border>
      <left style="medium">
        <color theme="7"/>
      </left>
      <right/>
      <top style="medium">
        <color rgb="FF00244D"/>
      </top>
      <bottom/>
      <diagonal/>
    </border>
    <border>
      <left/>
      <right style="medium">
        <color theme="7"/>
      </right>
      <top style="medium">
        <color rgb="FF00244D"/>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style="medium">
        <color theme="7"/>
      </right>
      <top style="medium">
        <color rgb="FF00244D"/>
      </top>
      <bottom style="medium">
        <color theme="7"/>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theme="7"/>
      </left>
      <right style="medium">
        <color theme="7"/>
      </right>
      <top style="medium">
        <color theme="7"/>
      </top>
      <bottom/>
      <diagonal/>
    </border>
    <border>
      <left style="medium">
        <color theme="7"/>
      </left>
      <right style="medium">
        <color theme="7"/>
      </right>
      <top/>
      <bottom style="medium">
        <color theme="7"/>
      </bottom>
      <diagonal/>
    </border>
    <border>
      <left style="medium">
        <color theme="7"/>
      </left>
      <right style="medium">
        <color theme="7"/>
      </right>
      <top/>
      <bottom/>
      <diagonal/>
    </border>
    <border>
      <left style="medium">
        <color theme="7"/>
      </left>
      <right style="medium">
        <color theme="7"/>
      </right>
      <top style="medium">
        <color theme="7"/>
      </top>
      <bottom style="medium">
        <color rgb="FF00244D"/>
      </bottom>
      <diagonal/>
    </border>
    <border>
      <left style="medium">
        <color theme="7"/>
      </left>
      <right style="medium">
        <color theme="7"/>
      </right>
      <top style="medium">
        <color rgb="FF00244D"/>
      </top>
      <bottom style="medium">
        <color rgb="FF00244D"/>
      </bottom>
      <diagonal/>
    </border>
    <border>
      <left style="medium">
        <color theme="7"/>
      </left>
      <right/>
      <top style="medium">
        <color theme="7"/>
      </top>
      <bottom/>
      <diagonal/>
    </border>
    <border>
      <left/>
      <right style="medium">
        <color theme="7"/>
      </right>
      <top style="medium">
        <color theme="7"/>
      </top>
      <bottom/>
      <diagonal/>
    </border>
    <border>
      <left style="thick">
        <color theme="7"/>
      </left>
      <right style="thick">
        <color theme="7"/>
      </right>
      <top style="thick">
        <color theme="7"/>
      </top>
      <bottom style="thick">
        <color theme="7"/>
      </bottom>
      <diagonal/>
    </border>
    <border>
      <left style="thick">
        <color theme="7"/>
      </left>
      <right style="medium">
        <color rgb="FF00244D"/>
      </right>
      <top style="thick">
        <color theme="7"/>
      </top>
      <bottom/>
      <diagonal/>
    </border>
    <border>
      <left style="medium">
        <color rgb="FF00244D"/>
      </left>
      <right style="medium">
        <color rgb="FF00244D"/>
      </right>
      <top style="thick">
        <color theme="7"/>
      </top>
      <bottom/>
      <diagonal/>
    </border>
    <border>
      <left style="medium">
        <color rgb="FF00244D"/>
      </left>
      <right style="thick">
        <color theme="7"/>
      </right>
      <top style="thick">
        <color theme="7"/>
      </top>
      <bottom/>
      <diagonal/>
    </border>
    <border>
      <left style="thick">
        <color theme="7"/>
      </left>
      <right style="medium">
        <color theme="7"/>
      </right>
      <top style="medium">
        <color theme="7"/>
      </top>
      <bottom style="medium">
        <color theme="7"/>
      </bottom>
      <diagonal/>
    </border>
    <border>
      <left style="medium">
        <color theme="7"/>
      </left>
      <right style="thick">
        <color theme="7"/>
      </right>
      <top style="medium">
        <color theme="7"/>
      </top>
      <bottom style="medium">
        <color theme="7"/>
      </bottom>
      <diagonal/>
    </border>
    <border>
      <left style="thick">
        <color theme="7"/>
      </left>
      <right style="medium">
        <color theme="7"/>
      </right>
      <top style="medium">
        <color theme="7"/>
      </top>
      <bottom/>
      <diagonal/>
    </border>
    <border>
      <left style="medium">
        <color theme="7"/>
      </left>
      <right style="thick">
        <color theme="7"/>
      </right>
      <top style="medium">
        <color theme="7"/>
      </top>
      <bottom/>
      <diagonal/>
    </border>
    <border>
      <left style="thick">
        <color theme="7"/>
      </left>
      <right style="medium">
        <color theme="7"/>
      </right>
      <top/>
      <bottom style="medium">
        <color theme="7"/>
      </bottom>
      <diagonal/>
    </border>
    <border>
      <left style="medium">
        <color theme="7"/>
      </left>
      <right style="thick">
        <color theme="7"/>
      </right>
      <top/>
      <bottom style="medium">
        <color theme="7"/>
      </bottom>
      <diagonal/>
    </border>
    <border>
      <left style="thick">
        <color theme="7"/>
      </left>
      <right style="medium">
        <color theme="7"/>
      </right>
      <top/>
      <bottom/>
      <diagonal/>
    </border>
    <border>
      <left style="medium">
        <color theme="7"/>
      </left>
      <right style="thick">
        <color theme="7"/>
      </right>
      <top/>
      <bottom/>
      <diagonal/>
    </border>
    <border>
      <left style="thick">
        <color theme="7"/>
      </left>
      <right style="medium">
        <color theme="7"/>
      </right>
      <top/>
      <bottom style="thick">
        <color theme="7"/>
      </bottom>
      <diagonal/>
    </border>
    <border>
      <left style="medium">
        <color theme="7"/>
      </left>
      <right style="medium">
        <color theme="7"/>
      </right>
      <top/>
      <bottom style="thick">
        <color theme="7"/>
      </bottom>
      <diagonal/>
    </border>
    <border>
      <left style="medium">
        <color theme="7"/>
      </left>
      <right style="thick">
        <color theme="7"/>
      </right>
      <top/>
      <bottom style="thick">
        <color theme="7"/>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medium">
        <color theme="7"/>
      </right>
      <top style="medium">
        <color theme="7"/>
      </top>
      <bottom style="thick">
        <color theme="7"/>
      </bottom>
      <diagonal/>
    </border>
    <border>
      <left style="medium">
        <color theme="7"/>
      </left>
      <right style="medium">
        <color theme="7"/>
      </right>
      <top style="medium">
        <color theme="7"/>
      </top>
      <bottom style="thick">
        <color theme="7"/>
      </bottom>
      <diagonal/>
    </border>
    <border>
      <left style="medium">
        <color theme="7"/>
      </left>
      <right style="thick">
        <color theme="7"/>
      </right>
      <top style="medium">
        <color theme="7"/>
      </top>
      <bottom style="thick">
        <color theme="7"/>
      </bottom>
      <diagonal/>
    </border>
    <border>
      <left style="thick">
        <color theme="7"/>
      </left>
      <right style="medium">
        <color rgb="FF00244D"/>
      </right>
      <top style="thick">
        <color theme="7"/>
      </top>
      <bottom style="medium">
        <color theme="7"/>
      </bottom>
      <diagonal/>
    </border>
    <border>
      <left style="medium">
        <color rgb="FF00244D"/>
      </left>
      <right style="medium">
        <color rgb="FF00244D"/>
      </right>
      <top style="thick">
        <color theme="7"/>
      </top>
      <bottom style="medium">
        <color theme="7"/>
      </bottom>
      <diagonal/>
    </border>
    <border>
      <left style="medium">
        <color rgb="FF00244D"/>
      </left>
      <right style="thick">
        <color theme="7"/>
      </right>
      <top style="thick">
        <color theme="7"/>
      </top>
      <bottom style="medium">
        <color theme="7"/>
      </bottom>
      <diagonal/>
    </border>
    <border>
      <left style="thick">
        <color theme="7"/>
      </left>
      <right/>
      <top/>
      <bottom/>
      <diagonal/>
    </border>
    <border>
      <left/>
      <right style="thick">
        <color theme="7"/>
      </right>
      <top/>
      <bottom/>
      <diagonal/>
    </border>
    <border>
      <left style="thick">
        <color theme="7"/>
      </left>
      <right style="medium">
        <color theme="7"/>
      </right>
      <top style="medium">
        <color theme="7"/>
      </top>
      <bottom style="medium">
        <color rgb="FF00244D"/>
      </bottom>
      <diagonal/>
    </border>
    <border>
      <left style="thick">
        <color theme="7"/>
      </left>
      <right style="medium">
        <color theme="7"/>
      </right>
      <top style="medium">
        <color rgb="FF00244D"/>
      </top>
      <bottom/>
      <diagonal/>
    </border>
    <border>
      <left style="thick">
        <color theme="7"/>
      </left>
      <right style="medium">
        <color theme="7"/>
      </right>
      <top/>
      <bottom style="medium">
        <color rgb="FF00244D"/>
      </bottom>
      <diagonal/>
    </border>
    <border>
      <left style="thick">
        <color theme="7"/>
      </left>
      <right style="medium">
        <color theme="7"/>
      </right>
      <top style="medium">
        <color rgb="FF00244D"/>
      </top>
      <bottom style="medium">
        <color theme="7"/>
      </bottom>
      <diagonal/>
    </border>
    <border>
      <left style="thick">
        <color theme="7"/>
      </left>
      <right style="medium">
        <color rgb="FF00244D"/>
      </right>
      <top/>
      <bottom/>
      <diagonal/>
    </border>
    <border>
      <left style="medium">
        <color rgb="FF00244D"/>
      </left>
      <right style="thick">
        <color theme="7"/>
      </right>
      <top/>
      <bottom/>
      <diagonal/>
    </border>
    <border>
      <left style="thick">
        <color theme="7"/>
      </left>
      <right style="medium">
        <color theme="7"/>
      </right>
      <top style="medium">
        <color rgb="FF00244D"/>
      </top>
      <bottom style="medium">
        <color rgb="FF00244D"/>
      </bottom>
      <diagonal/>
    </border>
    <border>
      <left/>
      <right style="thick">
        <color theme="7"/>
      </right>
      <top style="medium">
        <color theme="7"/>
      </top>
      <bottom/>
      <diagonal/>
    </border>
    <border>
      <left/>
      <right style="thick">
        <color theme="7"/>
      </right>
      <top/>
      <bottom style="medium">
        <color theme="7"/>
      </bottom>
      <diagonal/>
    </border>
    <border>
      <left/>
      <right/>
      <top/>
      <bottom style="thick">
        <color theme="7"/>
      </bottom>
      <diagonal/>
    </border>
    <border>
      <left style="medium">
        <color theme="7"/>
      </left>
      <right/>
      <top/>
      <bottom style="thick">
        <color theme="7"/>
      </bottom>
      <diagonal/>
    </border>
    <border>
      <left/>
      <right style="medium">
        <color theme="7"/>
      </right>
      <top/>
      <bottom style="thick">
        <color theme="7"/>
      </bottom>
      <diagonal/>
    </border>
    <border>
      <left/>
      <right style="thick">
        <color theme="7"/>
      </right>
      <top/>
      <bottom style="thick">
        <color theme="7"/>
      </bottom>
      <diagonal/>
    </border>
    <border>
      <left style="thick">
        <color theme="7"/>
      </left>
      <right style="medium">
        <color theme="7"/>
      </right>
      <top style="medium">
        <color rgb="FF00244D"/>
      </top>
      <bottom style="thick">
        <color theme="7"/>
      </bottom>
      <diagonal/>
    </border>
    <border>
      <left/>
      <right style="medium">
        <color rgb="FF00244D"/>
      </right>
      <top/>
      <bottom style="thick">
        <color theme="7"/>
      </bottom>
      <diagonal/>
    </border>
    <border>
      <left style="medium">
        <color rgb="FF00244D"/>
      </left>
      <right/>
      <top/>
      <bottom style="thick">
        <color theme="7"/>
      </bottom>
      <diagonal/>
    </border>
    <border>
      <left style="thick">
        <color theme="7"/>
      </left>
      <right/>
      <top style="medium">
        <color theme="7"/>
      </top>
      <bottom style="medium">
        <color theme="7"/>
      </bottom>
      <diagonal/>
    </border>
    <border>
      <left style="thick">
        <color theme="7"/>
      </left>
      <right/>
      <top style="medium">
        <color theme="7"/>
      </top>
      <bottom style="thick">
        <color theme="7"/>
      </bottom>
      <diagonal/>
    </border>
    <border>
      <left style="thick">
        <color theme="7"/>
      </left>
      <right style="medium">
        <color rgb="FF8D8473"/>
      </right>
      <top style="thick">
        <color theme="7"/>
      </top>
      <bottom style="medium">
        <color theme="7"/>
      </bottom>
      <diagonal/>
    </border>
    <border>
      <left style="medium">
        <color rgb="FF8D8473"/>
      </left>
      <right style="thick">
        <color theme="7"/>
      </right>
      <top style="thick">
        <color theme="7"/>
      </top>
      <bottom style="medium">
        <color theme="7"/>
      </bottom>
      <diagonal/>
    </border>
    <border>
      <left style="thick">
        <color theme="7"/>
      </left>
      <right style="medium">
        <color rgb="FF8D8473"/>
      </right>
      <top style="medium">
        <color theme="7"/>
      </top>
      <bottom style="thick">
        <color theme="7"/>
      </bottom>
      <diagonal/>
    </border>
    <border>
      <left style="medium">
        <color rgb="FF8D8473"/>
      </left>
      <right style="thick">
        <color theme="7"/>
      </right>
      <top style="medium">
        <color theme="7"/>
      </top>
      <bottom style="thick">
        <color theme="7"/>
      </bottom>
      <diagonal/>
    </border>
    <border>
      <left style="thick">
        <color theme="7"/>
      </left>
      <right style="medium">
        <color rgb="FF00244D"/>
      </right>
      <top style="medium">
        <color theme="7"/>
      </top>
      <bottom style="medium">
        <color theme="7"/>
      </bottom>
      <diagonal/>
    </border>
    <border>
      <left style="medium">
        <color rgb="FF00244D"/>
      </left>
      <right style="thick">
        <color theme="7"/>
      </right>
      <top style="medium">
        <color theme="7"/>
      </top>
      <bottom style="medium">
        <color theme="7"/>
      </bottom>
      <diagonal/>
    </border>
    <border>
      <left style="thick">
        <color theme="7"/>
      </left>
      <right style="medium">
        <color rgb="FF00244D"/>
      </right>
      <top style="medium">
        <color theme="7"/>
      </top>
      <bottom style="thick">
        <color theme="7"/>
      </bottom>
      <diagonal/>
    </border>
    <border>
      <left style="medium">
        <color rgb="FF00244D"/>
      </left>
      <right style="thick">
        <color theme="7"/>
      </right>
      <top style="medium">
        <color theme="7"/>
      </top>
      <bottom style="thick">
        <color theme="7"/>
      </bottom>
      <diagonal/>
    </border>
    <border>
      <left style="thick">
        <color theme="7"/>
      </left>
      <right/>
      <top style="thick">
        <color theme="7"/>
      </top>
      <bottom style="medium">
        <color theme="7"/>
      </bottom>
      <diagonal/>
    </border>
    <border>
      <left/>
      <right style="thick">
        <color theme="7"/>
      </right>
      <top style="thick">
        <color theme="7"/>
      </top>
      <bottom style="medium">
        <color theme="7"/>
      </bottom>
      <diagonal/>
    </border>
    <border>
      <left/>
      <right style="thick">
        <color theme="7"/>
      </right>
      <top style="medium">
        <color theme="7"/>
      </top>
      <bottom style="thick">
        <color theme="7"/>
      </bottom>
      <diagonal/>
    </border>
    <border>
      <left style="thick">
        <color theme="7"/>
      </left>
      <right style="thick">
        <color theme="7"/>
      </right>
      <top style="thick">
        <color theme="7"/>
      </top>
      <bottom style="medium">
        <color theme="7"/>
      </bottom>
      <diagonal/>
    </border>
    <border>
      <left style="thick">
        <color theme="7"/>
      </left>
      <right style="thick">
        <color theme="7"/>
      </right>
      <top style="medium">
        <color theme="7"/>
      </top>
      <bottom style="thick">
        <color theme="7"/>
      </bottom>
      <diagonal/>
    </border>
    <border>
      <left style="thick">
        <color theme="7"/>
      </left>
      <right style="thick">
        <color theme="7"/>
      </right>
      <top style="medium">
        <color theme="7"/>
      </top>
      <bottom style="medium">
        <color theme="7"/>
      </bottom>
      <diagonal/>
    </border>
    <border>
      <left/>
      <right style="thick">
        <color theme="7"/>
      </right>
      <top style="medium">
        <color theme="7"/>
      </top>
      <bottom style="medium">
        <color theme="7"/>
      </bottom>
      <diagonal/>
    </border>
    <border>
      <left style="thick">
        <color theme="7"/>
      </left>
      <right/>
      <top style="medium">
        <color theme="7"/>
      </top>
      <bottom/>
      <diagonal/>
    </border>
    <border>
      <left style="thick">
        <color theme="7"/>
      </left>
      <right/>
      <top/>
      <bottom style="medium">
        <color theme="7"/>
      </bottom>
      <diagonal/>
    </border>
  </borders>
  <cellStyleXfs count="6">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cellStyleXfs>
  <cellXfs count="470">
    <xf numFmtId="0" fontId="0" fillId="0" borderId="0" xfId="0"/>
    <xf numFmtId="0" fontId="3" fillId="0" borderId="0" xfId="0" applyFont="1" applyFill="1" applyBorder="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Fill="1" applyBorder="1" applyAlignment="1">
      <alignment wrapText="1"/>
    </xf>
    <xf numFmtId="0" fontId="3" fillId="0" borderId="0" xfId="0" applyFont="1" applyFill="1" applyBorder="1" applyAlignment="1">
      <alignment horizontal="right" indent="1"/>
    </xf>
    <xf numFmtId="0" fontId="3" fillId="0" borderId="0" xfId="0" applyFont="1" applyFill="1" applyBorder="1" applyAlignment="1">
      <alignment horizontal="right" wrapText="1" indent="1"/>
    </xf>
    <xf numFmtId="0" fontId="5" fillId="0" borderId="0" xfId="0" applyFont="1" applyFill="1" applyBorder="1"/>
    <xf numFmtId="0" fontId="13" fillId="0" borderId="0" xfId="0" applyFont="1" applyFill="1" applyBorder="1"/>
    <xf numFmtId="0" fontId="8" fillId="0" borderId="0" xfId="0" applyFont="1" applyFill="1" applyBorder="1"/>
    <xf numFmtId="166" fontId="3" fillId="0" borderId="0" xfId="0" applyNumberFormat="1" applyFont="1" applyFill="1" applyBorder="1"/>
    <xf numFmtId="0" fontId="16" fillId="0" borderId="0" xfId="0" applyFont="1" applyFill="1" applyBorder="1"/>
    <xf numFmtId="164" fontId="3" fillId="0" borderId="0" xfId="0" applyNumberFormat="1" applyFont="1" applyFill="1" applyBorder="1"/>
    <xf numFmtId="0" fontId="18" fillId="0" borderId="0" xfId="0" applyFont="1" applyFill="1" applyBorder="1"/>
    <xf numFmtId="0" fontId="19" fillId="0" borderId="0" xfId="0" applyFont="1" applyFill="1" applyBorder="1" applyAlignment="1">
      <alignment horizontal="right" indent="1"/>
    </xf>
    <xf numFmtId="0" fontId="5" fillId="0" borderId="0" xfId="0" applyFont="1" applyFill="1" applyBorder="1" applyAlignment="1">
      <alignment horizontal="right" indent="1"/>
    </xf>
    <xf numFmtId="2" fontId="5" fillId="0" borderId="0" xfId="0" applyNumberFormat="1" applyFont="1" applyFill="1" applyBorder="1" applyAlignment="1">
      <alignment horizontal="center"/>
    </xf>
    <xf numFmtId="169" fontId="3" fillId="0" borderId="0" xfId="0" applyNumberFormat="1" applyFont="1" applyFill="1" applyBorder="1"/>
    <xf numFmtId="170" fontId="20" fillId="0" borderId="0" xfId="4" applyNumberFormat="1" applyFont="1" applyFill="1" applyBorder="1" applyAlignment="1">
      <alignment horizontal="right"/>
    </xf>
    <xf numFmtId="0" fontId="3" fillId="0" borderId="0" xfId="0" applyFont="1" applyFill="1" applyBorder="1" applyAlignment="1">
      <alignment vertical="center"/>
    </xf>
    <xf numFmtId="0" fontId="7" fillId="3" borderId="0" xfId="0" applyFont="1" applyFill="1" applyBorder="1" applyAlignment="1">
      <alignment horizontal="center" vertical="center"/>
    </xf>
    <xf numFmtId="166" fontId="3" fillId="0" borderId="0" xfId="0" applyNumberFormat="1" applyFont="1" applyFill="1" applyBorder="1" applyAlignment="1">
      <alignment horizontal="right" indent="1"/>
    </xf>
    <xf numFmtId="0" fontId="8" fillId="3" borderId="0" xfId="0" applyFont="1" applyFill="1" applyBorder="1"/>
    <xf numFmtId="2" fontId="3" fillId="0" borderId="0" xfId="0" applyNumberFormat="1" applyFont="1" applyFill="1" applyBorder="1"/>
    <xf numFmtId="171" fontId="3" fillId="0" borderId="0" xfId="0" applyNumberFormat="1" applyFont="1" applyFill="1" applyBorder="1"/>
    <xf numFmtId="0" fontId="21" fillId="0" borderId="0" xfId="0" applyFont="1" applyFill="1" applyBorder="1"/>
    <xf numFmtId="0" fontId="22" fillId="0" borderId="0" xfId="0" applyFont="1" applyFill="1" applyBorder="1" applyAlignment="1">
      <alignment vertical="center"/>
    </xf>
    <xf numFmtId="0" fontId="3" fillId="0" borderId="0" xfId="0" applyFont="1" applyFill="1" applyBorder="1" applyAlignment="1">
      <alignment horizontal="right"/>
    </xf>
    <xf numFmtId="0" fontId="5" fillId="0" borderId="0" xfId="0" applyFont="1" applyFill="1" applyBorder="1" applyAlignment="1">
      <alignment horizontal="right"/>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0" fontId="5" fillId="0" borderId="0" xfId="0" applyFont="1" applyFill="1" applyBorder="1" applyAlignment="1">
      <alignment horizontal="left"/>
    </xf>
    <xf numFmtId="1" fontId="3" fillId="0" borderId="0" xfId="0" applyNumberFormat="1" applyFont="1" applyFill="1" applyBorder="1"/>
    <xf numFmtId="169" fontId="16" fillId="0" borderId="0" xfId="0" applyNumberFormat="1" applyFont="1" applyFill="1" applyBorder="1"/>
    <xf numFmtId="0" fontId="3" fillId="0" borderId="0" xfId="0" applyFont="1" applyFill="1" applyBorder="1" applyAlignment="1">
      <alignment horizontal="left" wrapText="1"/>
    </xf>
    <xf numFmtId="166" fontId="3" fillId="0" borderId="0" xfId="0" applyNumberFormat="1" applyFont="1" applyFill="1" applyBorder="1" applyAlignment="1"/>
    <xf numFmtId="0" fontId="3" fillId="0" borderId="0" xfId="0" applyFont="1" applyFill="1" applyBorder="1" applyAlignment="1"/>
    <xf numFmtId="0" fontId="19" fillId="0" borderId="0" xfId="0" applyFont="1" applyFill="1" applyBorder="1" applyAlignment="1"/>
    <xf numFmtId="0" fontId="3" fillId="0" borderId="0" xfId="0" applyFont="1" applyFill="1" applyBorder="1" applyAlignment="1">
      <alignment horizontal="left"/>
    </xf>
    <xf numFmtId="167" fontId="8" fillId="0" borderId="0" xfId="0" applyNumberFormat="1" applyFont="1" applyFill="1" applyBorder="1" applyAlignment="1">
      <alignment horizontal="center"/>
    </xf>
    <xf numFmtId="0" fontId="25" fillId="0" borderId="0" xfId="0" applyFont="1" applyFill="1" applyBorder="1"/>
    <xf numFmtId="1" fontId="29" fillId="0" borderId="0" xfId="0" applyNumberFormat="1" applyFont="1" applyAlignment="1">
      <alignment horizontal="center"/>
    </xf>
    <xf numFmtId="0" fontId="24" fillId="0" borderId="0" xfId="0" applyFont="1"/>
    <xf numFmtId="0" fontId="3" fillId="4" borderId="0" xfId="0" applyFont="1" applyFill="1" applyBorder="1"/>
    <xf numFmtId="0" fontId="30" fillId="0" borderId="0" xfId="0" applyFont="1" applyFill="1" applyBorder="1"/>
    <xf numFmtId="0" fontId="25" fillId="0" borderId="0" xfId="0" applyFont="1" applyFill="1" applyBorder="1" applyAlignment="1">
      <alignment horizontal="right" indent="1"/>
    </xf>
    <xf numFmtId="0" fontId="25" fillId="0" borderId="0" xfId="0" applyFont="1" applyFill="1" applyBorder="1" applyAlignment="1">
      <alignment horizontal="left"/>
    </xf>
    <xf numFmtId="0" fontId="31" fillId="0" borderId="0" xfId="0" applyFont="1"/>
    <xf numFmtId="0" fontId="32" fillId="0" borderId="0" xfId="1" applyFont="1" applyFill="1" applyBorder="1"/>
    <xf numFmtId="0" fontId="30" fillId="0" borderId="0" xfId="0" applyFont="1" applyFill="1"/>
    <xf numFmtId="1" fontId="30" fillId="0" borderId="0" xfId="0" applyNumberFormat="1" applyFont="1" applyFill="1" applyAlignment="1">
      <alignment horizontal="center"/>
    </xf>
    <xf numFmtId="0" fontId="31" fillId="0" borderId="0" xfId="0" applyFont="1" applyFill="1"/>
    <xf numFmtId="0" fontId="9" fillId="0" borderId="0" xfId="3" applyFont="1" applyFill="1" applyBorder="1"/>
    <xf numFmtId="166" fontId="31" fillId="0" borderId="0" xfId="0" applyNumberFormat="1" applyFont="1"/>
    <xf numFmtId="169" fontId="31" fillId="0" borderId="0" xfId="0" applyNumberFormat="1" applyFont="1"/>
    <xf numFmtId="0" fontId="25" fillId="0" borderId="0" xfId="0" applyFont="1" applyFill="1" applyBorder="1" applyAlignment="1"/>
    <xf numFmtId="14" fontId="31" fillId="0" borderId="0" xfId="0" applyNumberFormat="1" applyFont="1"/>
    <xf numFmtId="0" fontId="13" fillId="0" borderId="0" xfId="0" applyFont="1"/>
    <xf numFmtId="166" fontId="8" fillId="0" borderId="0" xfId="0" applyNumberFormat="1" applyFont="1" applyFill="1" applyBorder="1"/>
    <xf numFmtId="0" fontId="33" fillId="0" borderId="0" xfId="0" applyFont="1" applyFill="1" applyBorder="1"/>
    <xf numFmtId="0" fontId="2" fillId="0" borderId="0" xfId="1" applyFill="1" applyBorder="1"/>
    <xf numFmtId="0" fontId="31" fillId="0" borderId="0" xfId="0" applyFont="1" applyFill="1" applyBorder="1"/>
    <xf numFmtId="0" fontId="25" fillId="0" borderId="0" xfId="0" applyFont="1" applyFill="1" applyBorder="1" applyAlignment="1">
      <alignment horizontal="left" wrapText="1"/>
    </xf>
    <xf numFmtId="3" fontId="0" fillId="0" borderId="0" xfId="0" applyNumberFormat="1"/>
    <xf numFmtId="0" fontId="25" fillId="0" borderId="0" xfId="0" applyFont="1" applyFill="1" applyBorder="1" applyAlignment="1">
      <alignment horizontal="left" wrapText="1"/>
    </xf>
    <xf numFmtId="0" fontId="3" fillId="0" borderId="0" xfId="0" applyFont="1" applyFill="1" applyBorder="1" applyAlignment="1">
      <alignment horizontal="left" vertical="center"/>
    </xf>
    <xf numFmtId="0" fontId="34" fillId="0" borderId="12" xfId="0" applyFont="1" applyBorder="1"/>
    <xf numFmtId="0" fontId="34" fillId="0" borderId="1" xfId="0" applyFont="1" applyBorder="1"/>
    <xf numFmtId="0" fontId="34" fillId="0" borderId="13" xfId="0" applyFont="1" applyBorder="1"/>
    <xf numFmtId="0" fontId="35" fillId="6" borderId="15" xfId="0" applyFont="1" applyFill="1" applyBorder="1" applyAlignment="1">
      <alignment horizontal="center" vertical="center"/>
    </xf>
    <xf numFmtId="0" fontId="34" fillId="0" borderId="14" xfId="0" applyFont="1" applyBorder="1"/>
    <xf numFmtId="0" fontId="34" fillId="0" borderId="0" xfId="0" applyFont="1" applyBorder="1"/>
    <xf numFmtId="0" fontId="34" fillId="0" borderId="15" xfId="0" applyFont="1" applyBorder="1"/>
    <xf numFmtId="0" fontId="34" fillId="0" borderId="15" xfId="0" applyFont="1" applyFill="1" applyBorder="1" applyAlignment="1"/>
    <xf numFmtId="0" fontId="36" fillId="6" borderId="15" xfId="0" applyFont="1" applyFill="1" applyBorder="1" applyAlignment="1"/>
    <xf numFmtId="0" fontId="34" fillId="0" borderId="0" xfId="1" applyFont="1" applyBorder="1" applyAlignment="1" applyProtection="1">
      <alignment horizontal="justify" vertical="top" wrapText="1"/>
    </xf>
    <xf numFmtId="0" fontId="34" fillId="0" borderId="15" xfId="1" applyFont="1" applyBorder="1" applyAlignment="1" applyProtection="1">
      <alignment horizontal="justify" vertical="top" wrapText="1"/>
    </xf>
    <xf numFmtId="0" fontId="36" fillId="2" borderId="15" xfId="0" applyFont="1" applyFill="1" applyBorder="1" applyAlignment="1"/>
    <xf numFmtId="0" fontId="39" fillId="0" borderId="0" xfId="1" applyFont="1" applyBorder="1" applyAlignment="1" applyProtection="1">
      <alignment horizontal="left" indent="2"/>
    </xf>
    <xf numFmtId="0" fontId="34" fillId="0" borderId="14" xfId="0" applyFont="1" applyFill="1" applyBorder="1"/>
    <xf numFmtId="0" fontId="39" fillId="0" borderId="0" xfId="1" applyFont="1" applyBorder="1" applyAlignment="1" applyProtection="1"/>
    <xf numFmtId="0" fontId="37" fillId="0" borderId="14" xfId="0" applyFont="1" applyBorder="1"/>
    <xf numFmtId="0" fontId="40" fillId="0" borderId="0" xfId="1" applyFont="1" applyBorder="1" applyAlignment="1" applyProtection="1"/>
    <xf numFmtId="0" fontId="34" fillId="0" borderId="16" xfId="0" applyFont="1" applyBorder="1"/>
    <xf numFmtId="0" fontId="34" fillId="0" borderId="17" xfId="0" applyFont="1" applyBorder="1"/>
    <xf numFmtId="0" fontId="34" fillId="0" borderId="18" xfId="0" applyFont="1" applyBorder="1"/>
    <xf numFmtId="0" fontId="39" fillId="0" borderId="0" xfId="1" applyFont="1" applyFill="1" applyBorder="1" applyAlignment="1" applyProtection="1"/>
    <xf numFmtId="166" fontId="25" fillId="0" borderId="0" xfId="0" applyNumberFormat="1" applyFont="1" applyFill="1" applyBorder="1" applyAlignment="1"/>
    <xf numFmtId="0" fontId="28" fillId="0" borderId="0" xfId="0" applyFont="1" applyFill="1" applyBorder="1" applyAlignment="1"/>
    <xf numFmtId="0" fontId="8" fillId="0" borderId="8" xfId="0" applyFont="1" applyFill="1" applyBorder="1" applyAlignment="1">
      <alignment horizontal="center" vertical="center"/>
    </xf>
    <xf numFmtId="0" fontId="3" fillId="0" borderId="8" xfId="0" applyFont="1" applyFill="1" applyBorder="1" applyAlignment="1">
      <alignment horizontal="left" vertical="center" wrapText="1"/>
    </xf>
    <xf numFmtId="0" fontId="8" fillId="0" borderId="8" xfId="0" applyFont="1" applyFill="1" applyBorder="1" applyAlignment="1">
      <alignment horizontal="left" vertical="center" wrapText="1"/>
    </xf>
    <xf numFmtId="164" fontId="8" fillId="0" borderId="8" xfId="0"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0" fontId="8" fillId="0" borderId="8" xfId="0" applyFont="1" applyFill="1" applyBorder="1" applyAlignment="1">
      <alignment horizontal="left" vertical="center"/>
    </xf>
    <xf numFmtId="0" fontId="3" fillId="0" borderId="8" xfId="0" applyFont="1" applyFill="1" applyBorder="1" applyAlignment="1">
      <alignment horizontal="left" vertical="center"/>
    </xf>
    <xf numFmtId="0" fontId="3" fillId="0" borderId="8" xfId="0" applyFont="1" applyFill="1" applyBorder="1" applyAlignment="1">
      <alignment horizontal="center" vertical="center" wrapText="1"/>
    </xf>
    <xf numFmtId="164" fontId="8" fillId="0" borderId="8" xfId="0" applyNumberFormat="1" applyFont="1" applyFill="1" applyBorder="1" applyAlignment="1">
      <alignment vertical="center" wrapText="1"/>
    </xf>
    <xf numFmtId="164" fontId="8" fillId="0" borderId="8" xfId="0" applyNumberFormat="1" applyFont="1" applyFill="1" applyBorder="1" applyAlignment="1">
      <alignment vertical="center"/>
    </xf>
    <xf numFmtId="0" fontId="8" fillId="0" borderId="8" xfId="0" applyFont="1" applyFill="1" applyBorder="1" applyAlignment="1">
      <alignment vertical="center"/>
    </xf>
    <xf numFmtId="0" fontId="3" fillId="7" borderId="8" xfId="0" applyFont="1" applyFill="1" applyBorder="1" applyAlignment="1">
      <alignment horizontal="center" vertical="center" wrapText="1"/>
    </xf>
    <xf numFmtId="0" fontId="3" fillId="4" borderId="14" xfId="0" applyFont="1" applyFill="1" applyBorder="1" applyAlignment="1">
      <alignment vertical="center" wrapText="1"/>
    </xf>
    <xf numFmtId="0" fontId="3" fillId="0" borderId="33" xfId="0" applyFont="1" applyFill="1" applyBorder="1" applyAlignment="1">
      <alignment vertical="center" wrapText="1"/>
    </xf>
    <xf numFmtId="164" fontId="8" fillId="0" borderId="34" xfId="0" applyNumberFormat="1" applyFont="1" applyFill="1" applyBorder="1" applyAlignment="1">
      <alignment vertical="center" wrapText="1"/>
    </xf>
    <xf numFmtId="0" fontId="8" fillId="0" borderId="33" xfId="0" applyFont="1" applyFill="1" applyBorder="1" applyAlignment="1">
      <alignment vertical="center" wrapText="1"/>
    </xf>
    <xf numFmtId="0" fontId="8" fillId="0" borderId="47" xfId="0" applyFont="1" applyFill="1" applyBorder="1" applyAlignment="1">
      <alignment vertical="center" wrapText="1"/>
    </xf>
    <xf numFmtId="0" fontId="8" fillId="0" borderId="48" xfId="0" applyFont="1" applyFill="1" applyBorder="1" applyAlignment="1">
      <alignment vertical="center"/>
    </xf>
    <xf numFmtId="0" fontId="8" fillId="0" borderId="48" xfId="0" applyFont="1" applyFill="1" applyBorder="1" applyAlignment="1">
      <alignment horizontal="left" vertical="center" wrapText="1"/>
    </xf>
    <xf numFmtId="0" fontId="8" fillId="0" borderId="49" xfId="0" applyFont="1" applyFill="1" applyBorder="1" applyAlignment="1">
      <alignment vertical="center"/>
    </xf>
    <xf numFmtId="0" fontId="8" fillId="0" borderId="34" xfId="0" applyFont="1" applyFill="1" applyBorder="1" applyAlignment="1">
      <alignment horizontal="center" vertical="center"/>
    </xf>
    <xf numFmtId="0" fontId="3" fillId="0" borderId="33" xfId="0" applyFont="1" applyFill="1" applyBorder="1" applyAlignment="1">
      <alignment horizontal="left" vertical="center" wrapText="1"/>
    </xf>
    <xf numFmtId="164" fontId="8" fillId="0" borderId="34" xfId="0" applyNumberFormat="1" applyFont="1" applyFill="1" applyBorder="1" applyAlignment="1">
      <alignment horizontal="center" vertical="center"/>
    </xf>
    <xf numFmtId="0" fontId="8" fillId="0" borderId="48" xfId="0" applyFont="1" applyFill="1" applyBorder="1" applyAlignment="1">
      <alignment horizontal="left" vertical="center"/>
    </xf>
    <xf numFmtId="165" fontId="8" fillId="0" borderId="48" xfId="0" applyNumberFormat="1" applyFont="1" applyFill="1" applyBorder="1" applyAlignment="1">
      <alignment horizontal="center" vertical="center"/>
    </xf>
    <xf numFmtId="0" fontId="26" fillId="4" borderId="23" xfId="0" applyFont="1" applyFill="1" applyBorder="1" applyAlignment="1">
      <alignment vertical="top" wrapText="1"/>
    </xf>
    <xf numFmtId="0" fontId="3" fillId="4" borderId="22" xfId="0" applyFont="1" applyFill="1" applyBorder="1" applyAlignment="1">
      <alignment horizontal="center" vertical="center" wrapText="1"/>
    </xf>
    <xf numFmtId="0" fontId="26" fillId="4" borderId="18" xfId="0" applyFont="1" applyFill="1" applyBorder="1" applyAlignment="1">
      <alignment vertical="top" wrapText="1"/>
    </xf>
    <xf numFmtId="0" fontId="34" fillId="0" borderId="53" xfId="0" applyFont="1" applyFill="1" applyBorder="1" applyAlignment="1">
      <alignment horizontal="center" vertical="top"/>
    </xf>
    <xf numFmtId="0" fontId="34" fillId="0" borderId="37" xfId="0" applyFont="1" applyFill="1" applyBorder="1" applyAlignment="1">
      <alignment horizontal="center" vertical="top"/>
    </xf>
    <xf numFmtId="0" fontId="3" fillId="0" borderId="29" xfId="0" applyFont="1" applyFill="1" applyBorder="1"/>
    <xf numFmtId="0" fontId="3" fillId="7" borderId="84" xfId="0" applyFont="1" applyFill="1" applyBorder="1"/>
    <xf numFmtId="0" fontId="3" fillId="8" borderId="8"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25" fillId="7" borderId="42"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25" fillId="9" borderId="43" xfId="0" applyFont="1" applyFill="1" applyBorder="1" applyAlignment="1">
      <alignment horizontal="center" vertical="center" wrapText="1"/>
    </xf>
    <xf numFmtId="0" fontId="8" fillId="9" borderId="36" xfId="0" applyFont="1" applyFill="1" applyBorder="1" applyAlignment="1">
      <alignment horizontal="center" vertical="center" wrapText="1"/>
    </xf>
    <xf numFmtId="0" fontId="26" fillId="9" borderId="38"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25" fillId="9" borderId="38" xfId="0" applyFont="1" applyFill="1" applyBorder="1" applyAlignment="1">
      <alignment horizontal="center" vertical="center" wrapText="1"/>
    </xf>
    <xf numFmtId="0" fontId="8" fillId="9" borderId="34" xfId="0" applyFont="1" applyFill="1" applyBorder="1" applyAlignment="1">
      <alignment horizontal="center" vertical="center"/>
    </xf>
    <xf numFmtId="0" fontId="3" fillId="9" borderId="85" xfId="0" applyFont="1" applyFill="1" applyBorder="1"/>
    <xf numFmtId="0" fontId="3" fillId="9" borderId="8" xfId="0" applyFont="1" applyFill="1" applyBorder="1" applyAlignment="1">
      <alignment horizontal="center" vertical="center" wrapText="1"/>
    </xf>
    <xf numFmtId="0" fontId="3" fillId="9" borderId="34" xfId="0" applyFont="1" applyFill="1" applyBorder="1" applyAlignment="1">
      <alignment horizontal="center" vertical="center" wrapText="1"/>
    </xf>
    <xf numFmtId="164" fontId="8" fillId="10" borderId="8" xfId="0" applyNumberFormat="1" applyFont="1" applyFill="1" applyBorder="1" applyAlignment="1">
      <alignment vertical="center" wrapText="1"/>
    </xf>
    <xf numFmtId="164" fontId="8" fillId="10" borderId="34" xfId="0" applyNumberFormat="1" applyFont="1" applyFill="1" applyBorder="1" applyAlignment="1">
      <alignment vertical="center" wrapText="1"/>
    </xf>
    <xf numFmtId="164" fontId="8" fillId="9" borderId="8" xfId="0" applyNumberFormat="1" applyFont="1" applyFill="1" applyBorder="1" applyAlignment="1">
      <alignment vertical="center" wrapText="1"/>
    </xf>
    <xf numFmtId="164" fontId="8" fillId="9" borderId="34" xfId="0" applyNumberFormat="1" applyFont="1" applyFill="1" applyBorder="1" applyAlignment="1">
      <alignment vertical="center" wrapText="1"/>
    </xf>
    <xf numFmtId="0" fontId="3" fillId="9" borderId="34" xfId="0" applyFont="1" applyFill="1" applyBorder="1" applyAlignment="1">
      <alignment horizontal="center" vertical="center"/>
    </xf>
    <xf numFmtId="169" fontId="3" fillId="9" borderId="36" xfId="0" applyNumberFormat="1" applyFont="1" applyFill="1" applyBorder="1" applyAlignment="1">
      <alignment horizontal="center" vertical="center"/>
    </xf>
    <xf numFmtId="169" fontId="25" fillId="9" borderId="38" xfId="0" applyNumberFormat="1" applyFont="1" applyFill="1" applyBorder="1" applyAlignment="1">
      <alignment horizontal="center" vertical="center"/>
    </xf>
    <xf numFmtId="172" fontId="26" fillId="9" borderId="38" xfId="0" applyNumberFormat="1" applyFont="1" applyFill="1" applyBorder="1" applyAlignment="1">
      <alignment horizontal="center" vertical="center" wrapText="1"/>
    </xf>
    <xf numFmtId="169" fontId="25" fillId="9" borderId="38" xfId="0" applyNumberFormat="1" applyFont="1" applyFill="1" applyBorder="1" applyAlignment="1">
      <alignment horizontal="center" vertical="center" wrapText="1"/>
    </xf>
    <xf numFmtId="169" fontId="3" fillId="9" borderId="36" xfId="0" applyNumberFormat="1" applyFont="1" applyFill="1" applyBorder="1" applyAlignment="1">
      <alignment horizontal="center" vertical="center" wrapText="1"/>
    </xf>
    <xf numFmtId="0" fontId="41" fillId="9" borderId="36" xfId="0" applyFont="1" applyFill="1" applyBorder="1" applyAlignment="1">
      <alignment horizontal="center" vertical="center"/>
    </xf>
    <xf numFmtId="0" fontId="41" fillId="9" borderId="40" xfId="0" applyFont="1" applyFill="1" applyBorder="1" applyAlignment="1">
      <alignment horizontal="center" vertical="center" wrapText="1"/>
    </xf>
    <xf numFmtId="0" fontId="42" fillId="9" borderId="40" xfId="0" applyFont="1" applyFill="1" applyBorder="1" applyAlignment="1">
      <alignment horizontal="center" vertical="center" wrapText="1"/>
    </xf>
    <xf numFmtId="0" fontId="42" fillId="9" borderId="43" xfId="0" applyFont="1" applyFill="1" applyBorder="1" applyAlignment="1">
      <alignment horizontal="center" vertical="center" wrapText="1"/>
    </xf>
    <xf numFmtId="1" fontId="3" fillId="9" borderId="36" xfId="0" applyNumberFormat="1" applyFont="1" applyFill="1" applyBorder="1" applyAlignment="1">
      <alignment horizontal="center" vertical="center" wrapText="1"/>
    </xf>
    <xf numFmtId="1" fontId="3" fillId="9" borderId="40" xfId="0" applyNumberFormat="1" applyFont="1" applyFill="1" applyBorder="1" applyAlignment="1">
      <alignment horizontal="center" vertical="center" wrapText="1"/>
    </xf>
    <xf numFmtId="1" fontId="25" fillId="9" borderId="38" xfId="0" applyNumberFormat="1" applyFont="1" applyFill="1" applyBorder="1" applyAlignment="1">
      <alignment horizontal="center" vertical="center" wrapText="1"/>
    </xf>
    <xf numFmtId="1" fontId="8" fillId="9" borderId="36" xfId="0" applyNumberFormat="1" applyFont="1" applyFill="1" applyBorder="1" applyAlignment="1">
      <alignment horizontal="center" vertical="center" wrapText="1"/>
    </xf>
    <xf numFmtId="1" fontId="8" fillId="9" borderId="40" xfId="0" applyNumberFormat="1" applyFont="1" applyFill="1" applyBorder="1" applyAlignment="1">
      <alignment horizontal="center" vertical="center" wrapText="1"/>
    </xf>
    <xf numFmtId="0" fontId="26" fillId="9" borderId="38" xfId="0" applyFont="1" applyFill="1" applyBorder="1" applyAlignment="1">
      <alignment horizontal="center" vertical="center"/>
    </xf>
    <xf numFmtId="0" fontId="42" fillId="9" borderId="40" xfId="0" applyFont="1" applyFill="1" applyBorder="1" applyAlignment="1">
      <alignment horizontal="center" vertical="center"/>
    </xf>
    <xf numFmtId="0" fontId="42" fillId="9" borderId="38" xfId="0" applyFont="1" applyFill="1" applyBorder="1" applyAlignment="1">
      <alignment horizontal="center" vertical="center" wrapText="1"/>
    </xf>
    <xf numFmtId="0" fontId="8" fillId="9" borderId="62" xfId="0" applyFont="1" applyFill="1" applyBorder="1" applyAlignment="1">
      <alignment horizontal="center" vertical="center"/>
    </xf>
    <xf numFmtId="0" fontId="8" fillId="9" borderId="54" xfId="0" applyFont="1" applyFill="1" applyBorder="1" applyAlignment="1">
      <alignment horizontal="center" vertical="center"/>
    </xf>
    <xf numFmtId="169" fontId="25" fillId="9" borderId="63" xfId="0" applyNumberFormat="1" applyFont="1" applyFill="1" applyBorder="1" applyAlignment="1">
      <alignment horizontal="center" vertical="center"/>
    </xf>
    <xf numFmtId="0" fontId="8" fillId="9" borderId="54" xfId="0" applyFont="1" applyFill="1" applyBorder="1" applyAlignment="1">
      <alignment horizontal="center" vertical="center" wrapText="1"/>
    </xf>
    <xf numFmtId="0" fontId="26" fillId="9" borderId="54" xfId="0" applyFont="1" applyFill="1" applyBorder="1" applyAlignment="1">
      <alignment horizontal="center" vertical="center"/>
    </xf>
    <xf numFmtId="0" fontId="47" fillId="9" borderId="34" xfId="0" applyFont="1" applyFill="1" applyBorder="1" applyAlignment="1">
      <alignment horizontal="center" vertical="center"/>
    </xf>
    <xf numFmtId="0" fontId="6" fillId="9" borderId="34" xfId="0" applyFont="1" applyFill="1" applyBorder="1" applyAlignment="1">
      <alignment horizontal="center" vertical="center" wrapText="1"/>
    </xf>
    <xf numFmtId="169" fontId="3" fillId="9" borderId="40" xfId="0" applyNumberFormat="1" applyFont="1" applyFill="1" applyBorder="1" applyAlignment="1">
      <alignment horizontal="center" vertical="center" wrapText="1"/>
    </xf>
    <xf numFmtId="169" fontId="41" fillId="9" borderId="36" xfId="0" applyNumberFormat="1" applyFont="1" applyFill="1" applyBorder="1" applyAlignment="1">
      <alignment horizontal="center" vertical="center"/>
    </xf>
    <xf numFmtId="169" fontId="42" fillId="9" borderId="38" xfId="0" applyNumberFormat="1" applyFont="1" applyFill="1" applyBorder="1" applyAlignment="1">
      <alignment horizontal="center" vertical="center"/>
    </xf>
    <xf numFmtId="169" fontId="25" fillId="9" borderId="40" xfId="0" applyNumberFormat="1" applyFont="1" applyFill="1" applyBorder="1" applyAlignment="1">
      <alignment horizontal="center" vertical="center"/>
    </xf>
    <xf numFmtId="169" fontId="6" fillId="9" borderId="43" xfId="0" applyNumberFormat="1" applyFont="1" applyFill="1" applyBorder="1" applyAlignment="1">
      <alignment horizontal="center" vertical="center"/>
    </xf>
    <xf numFmtId="0" fontId="47" fillId="7" borderId="8" xfId="0" applyFont="1" applyFill="1" applyBorder="1" applyAlignment="1">
      <alignment horizontal="center" vertical="center"/>
    </xf>
    <xf numFmtId="0" fontId="6" fillId="7" borderId="8" xfId="0" applyFont="1" applyFill="1" applyBorder="1" applyAlignment="1">
      <alignment horizontal="center" vertical="center" wrapText="1"/>
    </xf>
    <xf numFmtId="1" fontId="3" fillId="7" borderId="22" xfId="0" applyNumberFormat="1" applyFont="1" applyFill="1" applyBorder="1" applyAlignment="1">
      <alignment horizontal="center" vertical="center" wrapText="1"/>
    </xf>
    <xf numFmtId="0" fontId="41" fillId="7" borderId="22" xfId="0" applyFont="1" applyFill="1" applyBorder="1" applyAlignment="1">
      <alignment horizontal="center" vertical="center" wrapText="1"/>
    </xf>
    <xf numFmtId="0" fontId="42" fillId="7" borderId="23" xfId="0" applyFont="1" applyFill="1" applyBorder="1" applyAlignment="1">
      <alignment horizontal="center" vertical="center" wrapText="1"/>
    </xf>
    <xf numFmtId="1" fontId="3" fillId="7" borderId="24" xfId="0" applyNumberFormat="1" applyFont="1" applyFill="1" applyBorder="1" applyAlignment="1">
      <alignment horizontal="center" vertical="center" wrapText="1"/>
    </xf>
    <xf numFmtId="0" fontId="25" fillId="7" borderId="24" xfId="0" applyFont="1" applyFill="1" applyBorder="1" applyAlignment="1">
      <alignment horizontal="center" vertical="center" wrapText="1"/>
    </xf>
    <xf numFmtId="1" fontId="8" fillId="7" borderId="22" xfId="0" applyNumberFormat="1"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3" fillId="7" borderId="22" xfId="0" applyFont="1" applyFill="1" applyBorder="1" applyAlignment="1">
      <alignment horizontal="center" vertical="center"/>
    </xf>
    <xf numFmtId="169" fontId="25" fillId="7" borderId="23" xfId="0" applyNumberFormat="1" applyFont="1" applyFill="1" applyBorder="1" applyAlignment="1">
      <alignment horizontal="center" vertical="center"/>
    </xf>
    <xf numFmtId="169" fontId="25" fillId="7" borderId="24" xfId="0" applyNumberFormat="1" applyFont="1" applyFill="1" applyBorder="1" applyAlignment="1">
      <alignment horizontal="center" vertical="center" wrapText="1"/>
    </xf>
    <xf numFmtId="1" fontId="25" fillId="7" borderId="23" xfId="0" applyNumberFormat="1" applyFont="1" applyFill="1" applyBorder="1" applyAlignment="1">
      <alignment horizontal="center" vertical="center" wrapText="1"/>
    </xf>
    <xf numFmtId="1" fontId="8" fillId="7" borderId="24" xfId="0" applyNumberFormat="1" applyFont="1" applyFill="1" applyBorder="1" applyAlignment="1">
      <alignment horizontal="center" vertical="center" wrapText="1"/>
    </xf>
    <xf numFmtId="1" fontId="26" fillId="7" borderId="23" xfId="0" applyNumberFormat="1" applyFont="1" applyFill="1" applyBorder="1" applyAlignment="1">
      <alignment horizontal="center" vertical="center"/>
    </xf>
    <xf numFmtId="0" fontId="41" fillId="7" borderId="22" xfId="0" applyFont="1" applyFill="1" applyBorder="1" applyAlignment="1">
      <alignment horizontal="center" vertical="center"/>
    </xf>
    <xf numFmtId="0" fontId="41" fillId="7" borderId="24" xfId="0" applyFont="1" applyFill="1" applyBorder="1" applyAlignment="1">
      <alignment horizontal="center" vertical="center" wrapText="1"/>
    </xf>
    <xf numFmtId="0" fontId="42" fillId="7" borderId="24" xfId="0" applyFont="1" applyFill="1" applyBorder="1" applyAlignment="1">
      <alignment horizontal="center" vertical="center"/>
    </xf>
    <xf numFmtId="0" fontId="3" fillId="7" borderId="8" xfId="0" applyFont="1" applyFill="1" applyBorder="1" applyAlignment="1">
      <alignment horizontal="center" vertical="center"/>
    </xf>
    <xf numFmtId="0" fontId="3" fillId="8" borderId="33" xfId="0" applyFont="1" applyFill="1" applyBorder="1" applyAlignment="1">
      <alignment horizontal="center" vertical="center" wrapText="1"/>
    </xf>
    <xf numFmtId="0" fontId="34" fillId="8" borderId="33" xfId="0" applyFont="1" applyFill="1" applyBorder="1" applyAlignment="1">
      <alignment horizontal="center" vertical="center" wrapText="1"/>
    </xf>
    <xf numFmtId="0" fontId="34" fillId="8" borderId="8" xfId="0" applyFont="1" applyFill="1" applyBorder="1" applyAlignment="1">
      <alignment horizontal="center" vertical="center" wrapText="1"/>
    </xf>
    <xf numFmtId="0" fontId="42" fillId="7" borderId="24" xfId="0" applyFont="1" applyFill="1" applyBorder="1" applyAlignment="1">
      <alignment horizontal="center" vertical="center" wrapText="1"/>
    </xf>
    <xf numFmtId="0" fontId="42" fillId="7" borderId="42" xfId="0" applyFont="1" applyFill="1" applyBorder="1" applyAlignment="1">
      <alignment horizontal="center" vertical="center" wrapText="1"/>
    </xf>
    <xf numFmtId="164" fontId="8" fillId="7" borderId="8" xfId="0" applyNumberFormat="1" applyFont="1" applyFill="1" applyBorder="1" applyAlignment="1">
      <alignment vertical="center" wrapText="1"/>
    </xf>
    <xf numFmtId="164" fontId="8" fillId="7" borderId="34" xfId="0" applyNumberFormat="1" applyFont="1" applyFill="1" applyBorder="1" applyAlignment="1">
      <alignment vertical="center" wrapText="1"/>
    </xf>
    <xf numFmtId="164" fontId="8" fillId="7" borderId="8" xfId="0" applyNumberFormat="1" applyFont="1" applyFill="1" applyBorder="1" applyAlignment="1">
      <alignment vertical="center"/>
    </xf>
    <xf numFmtId="0" fontId="6" fillId="11" borderId="45" xfId="0" applyFont="1" applyFill="1" applyBorder="1" applyAlignment="1">
      <alignment horizontal="left" vertical="center"/>
    </xf>
    <xf numFmtId="0" fontId="14" fillId="11" borderId="46" xfId="0" applyFont="1" applyFill="1" applyBorder="1" applyAlignment="1">
      <alignment horizontal="left" vertical="center"/>
    </xf>
    <xf numFmtId="0" fontId="3" fillId="7" borderId="86" xfId="0" applyFont="1" applyFill="1" applyBorder="1"/>
    <xf numFmtId="0" fontId="3" fillId="12" borderId="84" xfId="0" applyFont="1" applyFill="1" applyBorder="1"/>
    <xf numFmtId="164" fontId="8" fillId="7" borderId="71" xfId="0" applyNumberFormat="1" applyFont="1" applyFill="1" applyBorder="1" applyAlignment="1">
      <alignment horizontal="center" vertical="center"/>
    </xf>
    <xf numFmtId="164" fontId="8" fillId="9" borderId="34" xfId="0" applyNumberFormat="1" applyFont="1" applyFill="1" applyBorder="1" applyAlignment="1">
      <alignment horizontal="center" vertical="center"/>
    </xf>
    <xf numFmtId="164" fontId="8" fillId="7" borderId="72" xfId="0" applyNumberFormat="1" applyFont="1" applyFill="1" applyBorder="1" applyAlignment="1">
      <alignment horizontal="center" vertical="center"/>
    </xf>
    <xf numFmtId="164" fontId="8" fillId="9" borderId="49" xfId="0" applyNumberFormat="1" applyFont="1" applyFill="1" applyBorder="1" applyAlignment="1">
      <alignment horizontal="center" vertical="center"/>
    </xf>
    <xf numFmtId="0" fontId="47" fillId="11" borderId="33" xfId="0" applyFont="1" applyFill="1" applyBorder="1" applyAlignment="1">
      <alignment horizontal="center" vertical="center" wrapText="1"/>
    </xf>
    <xf numFmtId="0" fontId="47" fillId="11" borderId="8" xfId="0" applyFont="1" applyFill="1" applyBorder="1" applyAlignment="1">
      <alignment horizontal="center" vertical="center" wrapText="1"/>
    </xf>
    <xf numFmtId="0" fontId="34" fillId="0" borderId="0" xfId="0" applyFont="1" applyFill="1" applyBorder="1"/>
    <xf numFmtId="0" fontId="25" fillId="9" borderId="4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8" fillId="0" borderId="35" xfId="0" applyFont="1" applyFill="1" applyBorder="1" applyAlignment="1">
      <alignment horizontal="right" vertical="center" wrapText="1"/>
    </xf>
    <xf numFmtId="0" fontId="3" fillId="4" borderId="39" xfId="0" applyFont="1" applyFill="1" applyBorder="1" applyAlignment="1">
      <alignment horizontal="right" vertical="center" wrapText="1"/>
    </xf>
    <xf numFmtId="0" fontId="25" fillId="4" borderId="37" xfId="0" applyFont="1" applyFill="1" applyBorder="1" applyAlignment="1">
      <alignment horizontal="right" vertical="center" wrapText="1"/>
    </xf>
    <xf numFmtId="0" fontId="3" fillId="4" borderId="35" xfId="0" applyFont="1" applyFill="1" applyBorder="1" applyAlignment="1">
      <alignment horizontal="right" vertical="center" wrapText="1"/>
    </xf>
    <xf numFmtId="0" fontId="26" fillId="4" borderId="37" xfId="0" applyFont="1" applyFill="1" applyBorder="1" applyAlignment="1">
      <alignment horizontal="right" vertical="center" wrapText="1"/>
    </xf>
    <xf numFmtId="0" fontId="8" fillId="4" borderId="39" xfId="0" applyFont="1" applyFill="1" applyBorder="1" applyAlignment="1">
      <alignment horizontal="right" vertical="center" wrapText="1"/>
    </xf>
    <xf numFmtId="0" fontId="25" fillId="4" borderId="41" xfId="0" applyFont="1" applyFill="1" applyBorder="1" applyAlignment="1">
      <alignment horizontal="right" vertical="center" wrapText="1"/>
    </xf>
    <xf numFmtId="164" fontId="8" fillId="12" borderId="8" xfId="0" applyNumberFormat="1" applyFont="1" applyFill="1" applyBorder="1" applyAlignment="1">
      <alignment horizontal="right" vertical="center"/>
    </xf>
    <xf numFmtId="164" fontId="8" fillId="7" borderId="8" xfId="0" applyNumberFormat="1" applyFont="1" applyFill="1" applyBorder="1" applyAlignment="1">
      <alignment horizontal="right" vertical="center"/>
    </xf>
    <xf numFmtId="164" fontId="8" fillId="7" borderId="34" xfId="0" applyNumberFormat="1" applyFont="1" applyFill="1" applyBorder="1" applyAlignment="1">
      <alignment horizontal="right" vertical="center"/>
    </xf>
    <xf numFmtId="164" fontId="8" fillId="3" borderId="8" xfId="0" applyNumberFormat="1" applyFont="1" applyFill="1" applyBorder="1" applyAlignment="1">
      <alignment horizontal="right" vertical="center"/>
    </xf>
    <xf numFmtId="164" fontId="3" fillId="3" borderId="8" xfId="0" applyNumberFormat="1" applyFont="1" applyFill="1" applyBorder="1" applyAlignment="1">
      <alignment horizontal="right" vertical="center"/>
    </xf>
    <xf numFmtId="164" fontId="8" fillId="9" borderId="8" xfId="0" applyNumberFormat="1" applyFont="1" applyFill="1" applyBorder="1" applyAlignment="1">
      <alignment horizontal="right" vertical="center"/>
    </xf>
    <xf numFmtId="164" fontId="8" fillId="9" borderId="34" xfId="0" applyNumberFormat="1" applyFont="1" applyFill="1" applyBorder="1" applyAlignment="1">
      <alignment horizontal="right" vertical="center"/>
    </xf>
    <xf numFmtId="164" fontId="8" fillId="0" borderId="8" xfId="0" applyNumberFormat="1" applyFont="1" applyFill="1" applyBorder="1" applyAlignment="1">
      <alignment horizontal="right" vertical="center"/>
    </xf>
    <xf numFmtId="164" fontId="8" fillId="0" borderId="34" xfId="0" applyNumberFormat="1" applyFont="1" applyFill="1" applyBorder="1" applyAlignment="1">
      <alignment horizontal="right" vertical="center"/>
    </xf>
    <xf numFmtId="164" fontId="31" fillId="0" borderId="8" xfId="0" applyNumberFormat="1" applyFont="1" applyFill="1" applyBorder="1" applyAlignment="1">
      <alignment horizontal="right" vertical="center"/>
    </xf>
    <xf numFmtId="164" fontId="31" fillId="0" borderId="34" xfId="0" applyNumberFormat="1" applyFont="1" applyFill="1" applyBorder="1" applyAlignment="1">
      <alignment horizontal="right" vertical="center"/>
    </xf>
    <xf numFmtId="164" fontId="16" fillId="3" borderId="8" xfId="0" applyNumberFormat="1" applyFont="1" applyFill="1" applyBorder="1" applyAlignment="1">
      <alignment horizontal="right" vertical="center"/>
    </xf>
    <xf numFmtId="168" fontId="8" fillId="12" borderId="8" xfId="0" applyNumberFormat="1" applyFont="1" applyFill="1" applyBorder="1" applyAlignment="1">
      <alignment horizontal="right" vertical="center"/>
    </xf>
    <xf numFmtId="168" fontId="8" fillId="12" borderId="34" xfId="0" applyNumberFormat="1" applyFont="1" applyFill="1" applyBorder="1" applyAlignment="1">
      <alignment horizontal="right" vertical="center"/>
    </xf>
    <xf numFmtId="164" fontId="16" fillId="3" borderId="48" xfId="0" applyNumberFormat="1" applyFont="1" applyFill="1" applyBorder="1" applyAlignment="1">
      <alignment horizontal="right" vertical="center"/>
    </xf>
    <xf numFmtId="164" fontId="8" fillId="7" borderId="48" xfId="0" applyNumberFormat="1" applyFont="1" applyFill="1" applyBorder="1" applyAlignment="1">
      <alignment horizontal="right" vertical="center"/>
    </xf>
    <xf numFmtId="164" fontId="31" fillId="0" borderId="48" xfId="0" applyNumberFormat="1" applyFont="1" applyFill="1" applyBorder="1" applyAlignment="1">
      <alignment horizontal="right" vertical="center"/>
    </xf>
    <xf numFmtId="164" fontId="31" fillId="0" borderId="49" xfId="0" applyNumberFormat="1" applyFont="1" applyFill="1" applyBorder="1" applyAlignment="1">
      <alignment horizontal="right" vertical="center"/>
    </xf>
    <xf numFmtId="164" fontId="8" fillId="0" borderId="8" xfId="0" applyNumberFormat="1" applyFont="1" applyFill="1" applyBorder="1" applyAlignment="1">
      <alignment horizontal="right" vertical="center" wrapText="1"/>
    </xf>
    <xf numFmtId="164" fontId="8" fillId="0" borderId="34" xfId="0" applyNumberFormat="1" applyFont="1" applyFill="1" applyBorder="1" applyAlignment="1">
      <alignment horizontal="right" vertical="center" wrapText="1"/>
    </xf>
    <xf numFmtId="169" fontId="3" fillId="9" borderId="40" xfId="0" applyNumberFormat="1" applyFont="1" applyFill="1" applyBorder="1" applyAlignment="1">
      <alignment horizontal="center" vertical="center"/>
    </xf>
    <xf numFmtId="0" fontId="25" fillId="4" borderId="23" xfId="0" applyFont="1" applyFill="1" applyBorder="1" applyAlignment="1">
      <alignment horizontal="justify" vertical="center" wrapText="1"/>
    </xf>
    <xf numFmtId="172" fontId="8" fillId="9" borderId="40" xfId="0" applyNumberFormat="1" applyFont="1" applyFill="1" applyBorder="1" applyAlignment="1">
      <alignment horizontal="center" vertical="center" wrapText="1"/>
    </xf>
    <xf numFmtId="0" fontId="26" fillId="4" borderId="23" xfId="0" applyFont="1" applyFill="1" applyBorder="1" applyAlignment="1">
      <alignment horizontal="justify" vertical="center" wrapText="1"/>
    </xf>
    <xf numFmtId="0" fontId="44" fillId="0" borderId="0" xfId="0" applyFont="1" applyFill="1" applyBorder="1" applyAlignment="1">
      <alignment vertical="center"/>
    </xf>
    <xf numFmtId="0" fontId="23" fillId="0" borderId="0" xfId="0" applyFont="1" applyFill="1" applyBorder="1" applyAlignment="1">
      <alignment vertical="center"/>
    </xf>
    <xf numFmtId="0" fontId="13" fillId="0" borderId="0" xfId="0" applyFont="1" applyFill="1" applyBorder="1" applyAlignment="1">
      <alignment vertical="center"/>
    </xf>
    <xf numFmtId="0" fontId="45" fillId="0" borderId="0" xfId="0" applyFont="1" applyFill="1" applyBorder="1" applyAlignment="1">
      <alignment vertical="center"/>
    </xf>
    <xf numFmtId="0" fontId="3" fillId="0" borderId="0" xfId="0" applyFont="1" applyFill="1" applyBorder="1" applyAlignment="1">
      <alignment horizontal="right" vertical="center"/>
    </xf>
    <xf numFmtId="173" fontId="8" fillId="7" borderId="33" xfId="0" applyNumberFormat="1" applyFont="1" applyFill="1" applyBorder="1" applyAlignment="1">
      <alignment horizontal="center" vertical="center"/>
    </xf>
    <xf numFmtId="173" fontId="8" fillId="9" borderId="87" xfId="0" applyNumberFormat="1" applyFont="1" applyFill="1" applyBorder="1" applyAlignment="1">
      <alignment horizontal="center" vertical="center"/>
    </xf>
    <xf numFmtId="0" fontId="3" fillId="4" borderId="28" xfId="0" applyFont="1" applyFill="1" applyBorder="1" applyAlignment="1">
      <alignment horizontal="right" vertical="center" wrapText="1"/>
    </xf>
    <xf numFmtId="0" fontId="25" fillId="4" borderId="18" xfId="0" applyFont="1" applyFill="1" applyBorder="1" applyAlignment="1">
      <alignment horizontal="right" vertical="center" wrapText="1"/>
    </xf>
    <xf numFmtId="174" fontId="8" fillId="0" borderId="8" xfId="0" applyNumberFormat="1" applyFont="1" applyFill="1" applyBorder="1" applyAlignment="1">
      <alignment vertical="center"/>
    </xf>
    <xf numFmtId="174" fontId="8" fillId="0" borderId="34" xfId="0" applyNumberFormat="1" applyFont="1" applyFill="1" applyBorder="1" applyAlignment="1">
      <alignment vertical="center"/>
    </xf>
    <xf numFmtId="0" fontId="4" fillId="0" borderId="0" xfId="1" applyFont="1" applyFill="1" applyBorder="1" applyAlignment="1" applyProtection="1">
      <alignment vertical="center"/>
    </xf>
    <xf numFmtId="0" fontId="5" fillId="0" borderId="0" xfId="0" applyFont="1" applyFill="1" applyBorder="1" applyAlignment="1">
      <alignment vertical="center"/>
    </xf>
    <xf numFmtId="0" fontId="3" fillId="8" borderId="8" xfId="0" applyFont="1" applyFill="1" applyBorder="1" applyAlignment="1">
      <alignment horizontal="left" vertical="center" wrapText="1"/>
    </xf>
    <xf numFmtId="0" fontId="25" fillId="4" borderId="23" xfId="0" applyFont="1" applyFill="1" applyBorder="1" applyAlignment="1">
      <alignment vertical="center" wrapText="1"/>
    </xf>
    <xf numFmtId="0" fontId="3" fillId="4" borderId="27" xfId="0" applyFont="1" applyFill="1" applyBorder="1" applyAlignment="1">
      <alignment vertical="center" wrapText="1"/>
    </xf>
    <xf numFmtId="0" fontId="3" fillId="4" borderId="28" xfId="0" applyFont="1" applyFill="1" applyBorder="1" applyAlignment="1">
      <alignment vertical="center" wrapText="1"/>
    </xf>
    <xf numFmtId="0" fontId="3" fillId="4" borderId="15" xfId="0" applyFont="1" applyFill="1" applyBorder="1" applyAlignment="1">
      <alignment vertical="center" wrapText="1"/>
    </xf>
    <xf numFmtId="0" fontId="3" fillId="4" borderId="65" xfId="0" applyFont="1" applyFill="1" applyBorder="1" applyAlignment="1">
      <alignment vertical="center" wrapText="1"/>
    </xf>
    <xf numFmtId="0" fontId="3" fillId="4" borderId="66" xfId="0" applyFont="1" applyFill="1" applyBorder="1" applyAlignment="1">
      <alignment vertical="center" wrapText="1"/>
    </xf>
    <xf numFmtId="169" fontId="25" fillId="7" borderId="42" xfId="0" applyNumberFormat="1" applyFont="1" applyFill="1" applyBorder="1" applyAlignment="1">
      <alignment horizontal="center" vertical="center" wrapText="1"/>
    </xf>
    <xf numFmtId="0" fontId="26" fillId="9" borderId="67" xfId="0" applyFont="1" applyFill="1" applyBorder="1" applyAlignment="1">
      <alignment horizontal="center" vertical="center" wrapText="1"/>
    </xf>
    <xf numFmtId="0" fontId="23" fillId="0" borderId="0" xfId="0" applyFont="1" applyFill="1" applyBorder="1" applyAlignment="1">
      <alignment vertical="center" wrapText="1"/>
    </xf>
    <xf numFmtId="0" fontId="23" fillId="0" borderId="0" xfId="0" applyFont="1" applyBorder="1" applyAlignment="1">
      <alignment vertical="center" wrapText="1"/>
    </xf>
    <xf numFmtId="0" fontId="27" fillId="0" borderId="0" xfId="0" applyFont="1" applyBorder="1" applyAlignment="1">
      <alignment horizontal="left" vertical="center" wrapText="1"/>
    </xf>
    <xf numFmtId="0" fontId="27" fillId="0" borderId="0" xfId="0" applyFont="1" applyFill="1" applyBorder="1" applyAlignment="1">
      <alignment vertical="center"/>
    </xf>
    <xf numFmtId="164" fontId="8" fillId="7" borderId="8" xfId="0" applyNumberFormat="1" applyFont="1" applyFill="1" applyBorder="1" applyAlignment="1">
      <alignment horizontal="center" vertical="center"/>
    </xf>
    <xf numFmtId="164" fontId="3" fillId="9" borderId="8" xfId="0" applyNumberFormat="1" applyFont="1" applyFill="1" applyBorder="1" applyAlignment="1">
      <alignment horizontal="center" vertical="center"/>
    </xf>
    <xf numFmtId="0" fontId="3" fillId="0" borderId="0" xfId="0" quotePrefix="1" applyFont="1" applyFill="1" applyBorder="1" applyAlignment="1">
      <alignment horizontal="right" vertical="center"/>
    </xf>
    <xf numFmtId="164" fontId="3" fillId="7" borderId="8" xfId="0" applyNumberFormat="1" applyFont="1" applyFill="1" applyBorder="1" applyAlignment="1">
      <alignment horizontal="center" vertical="center"/>
    </xf>
    <xf numFmtId="164" fontId="8" fillId="9" borderId="8" xfId="0" applyNumberFormat="1" applyFont="1" applyFill="1" applyBorder="1" applyAlignment="1">
      <alignment horizontal="center" vertical="center"/>
    </xf>
    <xf numFmtId="0" fontId="16" fillId="0" borderId="0" xfId="0" applyFont="1" applyFill="1" applyBorder="1" applyAlignment="1">
      <alignment horizontal="right" vertical="center"/>
    </xf>
    <xf numFmtId="0" fontId="8" fillId="0" borderId="0" xfId="0" applyFont="1" applyFill="1" applyBorder="1" applyAlignment="1">
      <alignment horizontal="right" vertical="center"/>
    </xf>
    <xf numFmtId="0" fontId="8" fillId="0" borderId="0" xfId="0" applyFont="1" applyFill="1" applyBorder="1" applyAlignment="1">
      <alignment horizontal="right" vertical="center" wrapText="1"/>
    </xf>
    <xf numFmtId="164" fontId="3" fillId="0" borderId="8" xfId="0" applyNumberFormat="1" applyFont="1" applyFill="1" applyBorder="1" applyAlignment="1">
      <alignment horizontal="center" vertical="center"/>
    </xf>
    <xf numFmtId="164" fontId="3" fillId="0" borderId="20" xfId="0" applyNumberFormat="1" applyFont="1" applyFill="1" applyBorder="1" applyAlignment="1">
      <alignment horizontal="center" vertical="center"/>
    </xf>
    <xf numFmtId="164" fontId="3" fillId="0" borderId="21" xfId="0" applyNumberFormat="1" applyFont="1" applyFill="1" applyBorder="1" applyAlignment="1">
      <alignment horizontal="center" vertical="center"/>
    </xf>
    <xf numFmtId="164" fontId="3" fillId="0" borderId="5"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168" fontId="3" fillId="0" borderId="0" xfId="0" applyNumberFormat="1" applyFont="1" applyFill="1" applyBorder="1" applyAlignment="1">
      <alignment horizontal="center" vertical="center"/>
    </xf>
    <xf numFmtId="0" fontId="3" fillId="0" borderId="0" xfId="0" applyFont="1" applyFill="1" applyBorder="1" applyAlignment="1">
      <alignment vertical="center" wrapText="1"/>
    </xf>
    <xf numFmtId="0" fontId="5" fillId="0" borderId="0" xfId="0" applyFont="1" applyFill="1" applyBorder="1" applyAlignment="1">
      <alignment horizontal="left" vertical="center"/>
    </xf>
    <xf numFmtId="0" fontId="30" fillId="0" borderId="0" xfId="0" applyFont="1" applyFill="1" applyAlignment="1">
      <alignment vertical="center"/>
    </xf>
    <xf numFmtId="1" fontId="30" fillId="0" borderId="0" xfId="0" applyNumberFormat="1" applyFont="1" applyFill="1" applyAlignment="1">
      <alignment horizontal="center" vertical="center"/>
    </xf>
    <xf numFmtId="0" fontId="8" fillId="0" borderId="0" xfId="0" applyFont="1" applyFill="1" applyBorder="1" applyAlignment="1">
      <alignment vertical="center"/>
    </xf>
    <xf numFmtId="0" fontId="8" fillId="4" borderId="22" xfId="0" applyFont="1" applyFill="1" applyBorder="1" applyAlignment="1">
      <alignment vertical="center" wrapText="1"/>
    </xf>
    <xf numFmtId="0" fontId="8" fillId="4" borderId="28" xfId="0" applyFont="1" applyFill="1" applyBorder="1" applyAlignment="1">
      <alignment vertical="center" wrapText="1"/>
    </xf>
    <xf numFmtId="0" fontId="18" fillId="0" borderId="0" xfId="0" applyFont="1" applyFill="1" applyBorder="1" applyAlignment="1">
      <alignment vertical="center"/>
    </xf>
    <xf numFmtId="0" fontId="34" fillId="5" borderId="9" xfId="0" applyFont="1" applyFill="1" applyBorder="1" applyAlignment="1">
      <alignment horizontal="center"/>
    </xf>
    <xf numFmtId="0" fontId="34" fillId="5" borderId="10" xfId="0" applyFont="1" applyFill="1" applyBorder="1" applyAlignment="1">
      <alignment horizontal="center"/>
    </xf>
    <xf numFmtId="0" fontId="34" fillId="5" borderId="11" xfId="0" applyFont="1" applyFill="1" applyBorder="1" applyAlignment="1">
      <alignment horizontal="center"/>
    </xf>
    <xf numFmtId="0" fontId="35" fillId="6" borderId="14" xfId="0" applyFont="1" applyFill="1" applyBorder="1" applyAlignment="1">
      <alignment horizontal="center" vertical="center" wrapText="1"/>
    </xf>
    <xf numFmtId="0" fontId="35" fillId="6" borderId="0" xfId="0" applyFont="1" applyFill="1" applyBorder="1" applyAlignment="1">
      <alignment horizontal="center" vertical="center" wrapText="1"/>
    </xf>
    <xf numFmtId="0" fontId="34" fillId="0" borderId="14" xfId="0" applyFont="1" applyFill="1" applyBorder="1" applyAlignment="1">
      <alignment horizontal="center"/>
    </xf>
    <xf numFmtId="0" fontId="34" fillId="0" borderId="0" xfId="0" applyFont="1" applyFill="1" applyBorder="1" applyAlignment="1">
      <alignment horizontal="center"/>
    </xf>
    <xf numFmtId="0" fontId="35" fillId="6" borderId="14" xfId="0" applyFont="1" applyFill="1" applyBorder="1" applyAlignment="1">
      <alignment horizontal="left" indent="2"/>
    </xf>
    <xf numFmtId="0" fontId="35" fillId="6" borderId="0" xfId="0" applyFont="1" applyFill="1" applyBorder="1" applyAlignment="1">
      <alignment horizontal="left" indent="2"/>
    </xf>
    <xf numFmtId="0" fontId="41" fillId="8" borderId="59" xfId="0" applyFont="1" applyFill="1" applyBorder="1" applyAlignment="1">
      <alignment horizontal="right" vertical="center" wrapText="1"/>
    </xf>
    <xf numFmtId="0" fontId="41" fillId="8" borderId="6" xfId="0" applyFont="1" applyFill="1" applyBorder="1" applyAlignment="1">
      <alignment horizontal="right" vertical="center" wrapText="1"/>
    </xf>
    <xf numFmtId="0" fontId="41" fillId="8" borderId="60" xfId="0" applyFont="1" applyFill="1" applyBorder="1" applyAlignment="1">
      <alignment horizontal="right" vertical="center" wrapText="1"/>
    </xf>
    <xf numFmtId="0" fontId="3" fillId="7" borderId="81" xfId="0" applyFont="1" applyFill="1" applyBorder="1" applyAlignment="1">
      <alignment horizontal="center" vertical="center" wrapText="1"/>
    </xf>
    <xf numFmtId="0" fontId="3" fillId="7" borderId="82" xfId="0" applyFont="1" applyFill="1" applyBorder="1" applyAlignment="1">
      <alignment horizontal="center" vertical="center" wrapText="1"/>
    </xf>
    <xf numFmtId="0" fontId="3" fillId="9" borderId="72" xfId="0" applyFont="1" applyFill="1" applyBorder="1" applyAlignment="1">
      <alignment horizontal="center" vertical="center" wrapText="1"/>
    </xf>
    <xf numFmtId="0" fontId="3" fillId="9" borderId="83" xfId="0" applyFont="1" applyFill="1" applyBorder="1" applyAlignment="1">
      <alignment horizontal="center" vertical="center" wrapText="1"/>
    </xf>
    <xf numFmtId="0" fontId="3" fillId="4" borderId="33" xfId="0" applyFont="1" applyFill="1" applyBorder="1" applyAlignment="1">
      <alignment horizontal="right" vertical="center" wrapText="1"/>
    </xf>
    <xf numFmtId="0" fontId="3" fillId="4" borderId="35" xfId="0" applyFont="1" applyFill="1" applyBorder="1" applyAlignment="1">
      <alignment horizontal="right" vertical="center" wrapText="1"/>
    </xf>
    <xf numFmtId="0" fontId="25" fillId="4" borderId="39" xfId="0" applyFont="1" applyFill="1" applyBorder="1" applyAlignment="1">
      <alignment horizontal="right" vertical="center" wrapText="1"/>
    </xf>
    <xf numFmtId="0" fontId="25" fillId="4" borderId="37" xfId="0" applyFont="1" applyFill="1" applyBorder="1" applyAlignment="1">
      <alignment horizontal="right" vertical="center" wrapText="1"/>
    </xf>
    <xf numFmtId="0" fontId="3" fillId="4" borderId="39" xfId="0" applyFont="1" applyFill="1" applyBorder="1" applyAlignment="1">
      <alignment horizontal="right" vertical="center" wrapText="1"/>
    </xf>
    <xf numFmtId="0" fontId="3" fillId="4" borderId="55" xfId="0" applyFont="1" applyFill="1" applyBorder="1" applyAlignment="1">
      <alignment horizontal="right" vertical="center" wrapText="1"/>
    </xf>
    <xf numFmtId="0" fontId="3" fillId="4" borderId="56" xfId="0" applyFont="1" applyFill="1" applyBorder="1" applyAlignment="1">
      <alignment horizontal="right" vertical="center" wrapText="1"/>
    </xf>
    <xf numFmtId="0" fontId="41" fillId="8" borderId="50" xfId="0" applyFont="1" applyFill="1" applyBorder="1" applyAlignment="1">
      <alignment horizontal="left" vertical="center" wrapText="1"/>
    </xf>
    <xf numFmtId="0" fontId="41" fillId="8" borderId="51" xfId="0" applyFont="1" applyFill="1" applyBorder="1" applyAlignment="1">
      <alignment horizontal="left" vertical="center" wrapText="1"/>
    </xf>
    <xf numFmtId="0" fontId="41" fillId="8" borderId="52" xfId="0" applyFont="1" applyFill="1" applyBorder="1" applyAlignment="1">
      <alignment horizontal="left" vertical="center" wrapText="1"/>
    </xf>
    <xf numFmtId="0" fontId="41" fillId="8" borderId="53" xfId="0" applyFont="1" applyFill="1" applyBorder="1" applyAlignment="1">
      <alignment horizontal="right" vertical="center" wrapText="1"/>
    </xf>
    <xf numFmtId="0" fontId="41" fillId="8" borderId="0" xfId="0" applyFont="1" applyFill="1" applyBorder="1" applyAlignment="1">
      <alignment horizontal="right" vertical="center" wrapText="1"/>
    </xf>
    <xf numFmtId="0" fontId="41" fillId="8" borderId="54" xfId="0" applyFont="1" applyFill="1" applyBorder="1" applyAlignment="1">
      <alignment horizontal="right" vertical="center" wrapText="1"/>
    </xf>
    <xf numFmtId="0" fontId="3" fillId="0" borderId="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5" fillId="4" borderId="57" xfId="0" applyFont="1" applyFill="1" applyBorder="1" applyAlignment="1">
      <alignment horizontal="right" vertical="center" wrapText="1"/>
    </xf>
    <xf numFmtId="0" fontId="25" fillId="4" borderId="58" xfId="0" applyFont="1" applyFill="1" applyBorder="1" applyAlignment="1">
      <alignment horizontal="right" vertical="center" wrapText="1"/>
    </xf>
    <xf numFmtId="0" fontId="8" fillId="4" borderId="22"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25" fillId="0" borderId="0" xfId="0" applyFont="1" applyFill="1" applyBorder="1" applyAlignment="1">
      <alignment horizontal="left"/>
    </xf>
    <xf numFmtId="0" fontId="28" fillId="0" borderId="0" xfId="0" applyFont="1" applyFill="1" applyBorder="1" applyAlignment="1">
      <alignment horizontal="left"/>
    </xf>
    <xf numFmtId="0" fontId="41" fillId="11" borderId="44" xfId="0" applyFont="1" applyFill="1" applyBorder="1" applyAlignment="1">
      <alignment horizontal="left" vertical="center" wrapText="1"/>
    </xf>
    <xf numFmtId="0" fontId="41" fillId="11" borderId="45" xfId="0" applyFont="1" applyFill="1" applyBorder="1" applyAlignment="1">
      <alignment horizontal="left" vertical="center" wrapText="1"/>
    </xf>
    <xf numFmtId="0" fontId="41" fillId="11" borderId="46" xfId="0" applyFont="1" applyFill="1" applyBorder="1" applyAlignment="1">
      <alignment horizontal="left" vertical="center" wrapText="1"/>
    </xf>
    <xf numFmtId="0" fontId="3" fillId="0" borderId="33" xfId="0" applyFont="1" applyFill="1" applyBorder="1" applyAlignment="1">
      <alignment vertical="center" wrapText="1"/>
    </xf>
    <xf numFmtId="0" fontId="3" fillId="0" borderId="33" xfId="0" applyFont="1" applyFill="1" applyBorder="1" applyAlignment="1">
      <alignment vertical="center"/>
    </xf>
    <xf numFmtId="0" fontId="8" fillId="0" borderId="8" xfId="0" applyFont="1" applyFill="1" applyBorder="1" applyAlignment="1">
      <alignment horizontal="left" vertical="center"/>
    </xf>
    <xf numFmtId="0" fontId="8" fillId="0" borderId="33" xfId="0" applyFont="1" applyFill="1" applyBorder="1" applyAlignment="1">
      <alignment vertical="center" wrapText="1"/>
    </xf>
    <xf numFmtId="0" fontId="8" fillId="0" borderId="33" xfId="0" applyFont="1" applyFill="1" applyBorder="1" applyAlignment="1">
      <alignment vertical="center"/>
    </xf>
    <xf numFmtId="0" fontId="3" fillId="0" borderId="3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8" xfId="0" applyFont="1" applyFill="1" applyBorder="1" applyAlignment="1">
      <alignment horizontal="left" vertical="center"/>
    </xf>
    <xf numFmtId="0" fontId="25" fillId="0" borderId="0" xfId="0" applyFont="1" applyFill="1" applyBorder="1" applyAlignment="1">
      <alignment horizontal="left" wrapText="1"/>
    </xf>
    <xf numFmtId="0" fontId="26" fillId="0" borderId="8"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3" fillId="0" borderId="33"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0" borderId="0" xfId="0" applyFont="1" applyFill="1" applyBorder="1" applyAlignment="1">
      <alignment horizontal="left" vertical="center"/>
    </xf>
    <xf numFmtId="0" fontId="3" fillId="9" borderId="8"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8" fillId="0" borderId="33" xfId="0" applyFont="1" applyFill="1" applyBorder="1" applyAlignment="1">
      <alignment horizontal="left" vertical="center" wrapText="1"/>
    </xf>
    <xf numFmtId="0" fontId="8" fillId="0" borderId="33" xfId="0" applyFont="1" applyFill="1" applyBorder="1" applyAlignment="1">
      <alignment horizontal="left" vertical="center"/>
    </xf>
    <xf numFmtId="0" fontId="34" fillId="0" borderId="35" xfId="0" applyFont="1" applyFill="1" applyBorder="1" applyAlignment="1">
      <alignment horizontal="center" vertical="top"/>
    </xf>
    <xf numFmtId="0" fontId="34" fillId="0" borderId="39" xfId="0" applyFont="1" applyFill="1" applyBorder="1" applyAlignment="1">
      <alignment horizontal="center" vertical="top"/>
    </xf>
    <xf numFmtId="0" fontId="34" fillId="0" borderId="41" xfId="0" applyFont="1" applyFill="1" applyBorder="1" applyAlignment="1">
      <alignment horizontal="center" vertical="top"/>
    </xf>
    <xf numFmtId="0" fontId="8" fillId="4" borderId="22" xfId="0" applyFont="1" applyFill="1" applyBorder="1" applyAlignment="1">
      <alignment horizontal="justify" vertical="center" wrapText="1"/>
    </xf>
    <xf numFmtId="0" fontId="8" fillId="4" borderId="24" xfId="0" applyFont="1" applyFill="1" applyBorder="1" applyAlignment="1">
      <alignment horizontal="justify" vertical="center" wrapText="1"/>
    </xf>
    <xf numFmtId="0" fontId="8" fillId="0" borderId="22"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34" fillId="0" borderId="37" xfId="0" applyFont="1" applyFill="1" applyBorder="1" applyAlignment="1">
      <alignment horizontal="center" vertical="top"/>
    </xf>
    <xf numFmtId="0" fontId="3" fillId="4" borderId="22" xfId="0" applyFont="1" applyFill="1" applyBorder="1" applyAlignment="1">
      <alignment horizontal="justify" vertical="center" wrapText="1"/>
    </xf>
    <xf numFmtId="0" fontId="3" fillId="4" borderId="24" xfId="0" applyFont="1" applyFill="1" applyBorder="1" applyAlignment="1">
      <alignment horizontal="justify" vertical="center" wrapText="1"/>
    </xf>
    <xf numFmtId="0" fontId="3" fillId="0" borderId="22"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42" fillId="4" borderId="24" xfId="0" applyFont="1" applyFill="1" applyBorder="1" applyAlignment="1">
      <alignment horizontal="left" vertical="center" wrapText="1"/>
    </xf>
    <xf numFmtId="0" fontId="42" fillId="4" borderId="42" xfId="0" applyFont="1" applyFill="1" applyBorder="1" applyAlignment="1">
      <alignment horizontal="left" vertical="center" wrapText="1"/>
    </xf>
    <xf numFmtId="0" fontId="39" fillId="0" borderId="0" xfId="1" applyFont="1" applyFill="1" applyBorder="1" applyAlignment="1" applyProtection="1">
      <alignment horizontal="left" vertical="center"/>
    </xf>
    <xf numFmtId="0" fontId="41" fillId="8" borderId="30" xfId="0" applyFont="1" applyFill="1" applyBorder="1" applyAlignment="1">
      <alignment horizontal="left" vertical="center" wrapText="1"/>
    </xf>
    <xf numFmtId="0" fontId="41" fillId="8" borderId="31" xfId="0" applyFont="1" applyFill="1" applyBorder="1" applyAlignment="1">
      <alignment horizontal="left" vertical="center"/>
    </xf>
    <xf numFmtId="0" fontId="41" fillId="8" borderId="32" xfId="0" applyFont="1" applyFill="1" applyBorder="1" applyAlignment="1">
      <alignment horizontal="left" vertical="center"/>
    </xf>
    <xf numFmtId="0" fontId="8" fillId="8" borderId="8" xfId="0" applyFont="1" applyFill="1" applyBorder="1" applyAlignment="1">
      <alignment horizontal="center" vertical="center" wrapText="1"/>
    </xf>
    <xf numFmtId="0" fontId="8" fillId="8" borderId="34" xfId="0" applyFont="1" applyFill="1" applyBorder="1" applyAlignment="1">
      <alignment horizontal="center" vertical="center"/>
    </xf>
    <xf numFmtId="0" fontId="3" fillId="0" borderId="33"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3" fillId="0" borderId="88" xfId="0" applyFont="1" applyFill="1" applyBorder="1" applyAlignment="1">
      <alignment horizontal="center" vertical="center"/>
    </xf>
    <xf numFmtId="0" fontId="3" fillId="0" borderId="89" xfId="0" applyFont="1" applyFill="1" applyBorder="1" applyAlignment="1">
      <alignment horizontal="center" vertical="center"/>
    </xf>
    <xf numFmtId="0" fontId="44" fillId="0" borderId="0" xfId="0" applyFont="1" applyFill="1" applyBorder="1" applyAlignment="1">
      <alignment horizontal="left" vertical="center" wrapText="1"/>
    </xf>
    <xf numFmtId="0" fontId="3" fillId="0" borderId="50" xfId="0" applyFont="1" applyFill="1" applyBorder="1" applyAlignment="1">
      <alignment horizontal="center" vertical="center"/>
    </xf>
    <xf numFmtId="0" fontId="3" fillId="0" borderId="52" xfId="0" applyFont="1" applyFill="1" applyBorder="1" applyAlignment="1">
      <alignment horizontal="center" vertical="center"/>
    </xf>
    <xf numFmtId="173" fontId="8" fillId="0" borderId="77" xfId="0" applyNumberFormat="1" applyFont="1" applyFill="1" applyBorder="1" applyAlignment="1">
      <alignment horizontal="center" vertical="center"/>
    </xf>
    <xf numFmtId="173" fontId="8" fillId="0" borderId="78" xfId="0" applyNumberFormat="1" applyFont="1" applyFill="1" applyBorder="1" applyAlignment="1">
      <alignment horizontal="center" vertical="center"/>
    </xf>
    <xf numFmtId="0" fontId="3" fillId="4" borderId="22" xfId="0" applyFont="1" applyFill="1" applyBorder="1" applyAlignment="1">
      <alignment horizontal="center" vertical="center" wrapText="1"/>
    </xf>
    <xf numFmtId="0" fontId="3" fillId="4" borderId="36" xfId="0" applyFont="1" applyFill="1" applyBorder="1" applyAlignment="1">
      <alignment horizontal="center" vertical="center" wrapText="1"/>
    </xf>
    <xf numFmtId="173" fontId="3" fillId="0" borderId="79" xfId="0" applyNumberFormat="1" applyFont="1" applyFill="1" applyBorder="1" applyAlignment="1">
      <alignment horizontal="center" vertical="center"/>
    </xf>
    <xf numFmtId="173" fontId="3" fillId="0" borderId="80" xfId="0" applyNumberFormat="1" applyFont="1" applyFill="1" applyBorder="1" applyAlignment="1">
      <alignment horizontal="center" vertical="center"/>
    </xf>
    <xf numFmtId="0" fontId="41" fillId="4" borderId="22" xfId="0" applyFont="1" applyFill="1" applyBorder="1" applyAlignment="1">
      <alignment horizontal="justify" vertical="center" wrapText="1"/>
    </xf>
    <xf numFmtId="0" fontId="41" fillId="4" borderId="24" xfId="0" applyFont="1" applyFill="1" applyBorder="1" applyAlignment="1">
      <alignment horizontal="justify" vertical="center"/>
    </xf>
    <xf numFmtId="0" fontId="8" fillId="0" borderId="42" xfId="0" applyFont="1" applyFill="1" applyBorder="1" applyAlignment="1">
      <alignment horizontal="center" vertical="center" wrapText="1"/>
    </xf>
    <xf numFmtId="0" fontId="25" fillId="4" borderId="23"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45" fillId="0" borderId="7" xfId="0" applyFont="1" applyFill="1" applyBorder="1" applyAlignment="1">
      <alignment horizontal="left" vertical="center" wrapText="1"/>
    </xf>
    <xf numFmtId="0" fontId="3" fillId="7" borderId="19" xfId="0" applyFont="1" applyFill="1" applyBorder="1" applyAlignment="1">
      <alignment horizontal="center" vertical="center" wrapText="1"/>
    </xf>
    <xf numFmtId="0" fontId="3" fillId="12" borderId="8" xfId="0" applyFont="1" applyFill="1" applyBorder="1" applyAlignment="1">
      <alignment horizontal="center" vertical="center"/>
    </xf>
    <xf numFmtId="0" fontId="3" fillId="0" borderId="19" xfId="0" applyFont="1" applyFill="1" applyBorder="1" applyAlignment="1">
      <alignment horizontal="center" vertical="center"/>
    </xf>
    <xf numFmtId="2" fontId="3" fillId="7" borderId="8" xfId="0" applyNumberFormat="1" applyFont="1" applyFill="1" applyBorder="1" applyAlignment="1">
      <alignment horizontal="center" vertical="center" wrapText="1"/>
    </xf>
    <xf numFmtId="2" fontId="3" fillId="12" borderId="8" xfId="0" applyNumberFormat="1" applyFont="1" applyFill="1" applyBorder="1" applyAlignment="1">
      <alignment horizontal="center" vertical="center"/>
    </xf>
    <xf numFmtId="164" fontId="8" fillId="7" borderId="8" xfId="0" applyNumberFormat="1" applyFont="1" applyFill="1" applyBorder="1" applyAlignment="1">
      <alignment horizontal="center" vertical="center"/>
    </xf>
    <xf numFmtId="0" fontId="39" fillId="0" borderId="0" xfId="1" applyFont="1" applyFill="1" applyBorder="1" applyAlignment="1" applyProtection="1">
      <alignment horizontal="left"/>
    </xf>
    <xf numFmtId="0" fontId="3" fillId="8" borderId="8" xfId="0" applyFont="1" applyFill="1" applyBorder="1" applyAlignment="1">
      <alignment horizontal="center" vertical="center" wrapText="1"/>
    </xf>
    <xf numFmtId="0" fontId="3" fillId="8" borderId="8" xfId="0" applyFont="1" applyFill="1" applyBorder="1" applyAlignment="1">
      <alignment horizontal="center" vertical="center"/>
    </xf>
    <xf numFmtId="0" fontId="46" fillId="0" borderId="35" xfId="0" applyFont="1" applyFill="1" applyBorder="1" applyAlignment="1">
      <alignment horizontal="center" vertical="top"/>
    </xf>
    <xf numFmtId="0" fontId="46" fillId="0" borderId="39" xfId="0" applyFont="1" applyFill="1" applyBorder="1" applyAlignment="1">
      <alignment horizontal="center" vertical="top"/>
    </xf>
    <xf numFmtId="0" fontId="46" fillId="0" borderId="37" xfId="0" applyFont="1" applyFill="1" applyBorder="1" applyAlignment="1">
      <alignment horizontal="center" vertical="top"/>
    </xf>
    <xf numFmtId="0" fontId="46" fillId="0" borderId="55" xfId="0" applyFont="1" applyFill="1" applyBorder="1" applyAlignment="1">
      <alignment horizontal="center" vertical="top"/>
    </xf>
    <xf numFmtId="0" fontId="46" fillId="0" borderId="61" xfId="0" applyFont="1" applyFill="1" applyBorder="1" applyAlignment="1">
      <alignment horizontal="center" vertical="top"/>
    </xf>
    <xf numFmtId="0" fontId="46" fillId="0" borderId="58" xfId="0" applyFont="1" applyFill="1" applyBorder="1" applyAlignment="1">
      <alignment horizontal="center" vertical="top"/>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3" fillId="4" borderId="2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0" borderId="24" xfId="0" applyFont="1" applyFill="1" applyBorder="1" applyAlignment="1">
      <alignment horizontal="center" vertical="center"/>
    </xf>
    <xf numFmtId="0" fontId="42" fillId="4" borderId="23" xfId="0" applyFont="1" applyFill="1" applyBorder="1" applyAlignment="1">
      <alignment horizontal="left" vertical="center" wrapText="1"/>
    </xf>
    <xf numFmtId="0" fontId="25" fillId="4" borderId="0" xfId="0" applyFont="1" applyFill="1" applyBorder="1" applyAlignment="1">
      <alignment horizontal="left" vertical="center" wrapText="1"/>
    </xf>
    <xf numFmtId="0" fontId="25" fillId="4" borderId="64" xfId="0" applyFont="1" applyFill="1" applyBorder="1" applyAlignment="1">
      <alignment horizontal="left" vertical="center" wrapText="1"/>
    </xf>
    <xf numFmtId="0" fontId="34" fillId="8" borderId="22" xfId="0" applyFont="1" applyFill="1" applyBorder="1" applyAlignment="1">
      <alignment horizontal="center" vertical="center" wrapText="1"/>
    </xf>
    <xf numFmtId="0" fontId="34" fillId="8" borderId="36" xfId="0" applyFont="1" applyFill="1" applyBorder="1" applyAlignment="1">
      <alignment horizontal="center" vertical="center"/>
    </xf>
    <xf numFmtId="0" fontId="34" fillId="8" borderId="8" xfId="0" applyFont="1" applyFill="1" applyBorder="1" applyAlignment="1">
      <alignment horizontal="center" vertical="center" wrapText="1"/>
    </xf>
    <xf numFmtId="0" fontId="34" fillId="8" borderId="8" xfId="0" applyFont="1" applyFill="1" applyBorder="1" applyAlignment="1">
      <alignment horizontal="center" vertical="center"/>
    </xf>
    <xf numFmtId="0" fontId="34" fillId="0" borderId="57" xfId="0" applyFont="1" applyFill="1" applyBorder="1" applyAlignment="1">
      <alignment horizontal="center" vertical="top"/>
    </xf>
    <xf numFmtId="0" fontId="34" fillId="0" borderId="61" xfId="0" applyFont="1" applyFill="1" applyBorder="1" applyAlignment="1">
      <alignment horizontal="center" vertical="top"/>
    </xf>
    <xf numFmtId="0" fontId="34" fillId="0" borderId="56" xfId="0" applyFont="1" applyFill="1" applyBorder="1" applyAlignment="1">
      <alignment horizontal="center" vertical="top"/>
    </xf>
    <xf numFmtId="0" fontId="34" fillId="0" borderId="68" xfId="0" applyFont="1" applyFill="1" applyBorder="1" applyAlignment="1">
      <alignment horizontal="center" vertical="top"/>
    </xf>
    <xf numFmtId="0" fontId="42" fillId="4" borderId="69" xfId="0" applyFont="1" applyFill="1" applyBorder="1" applyAlignment="1">
      <alignment horizontal="justify" vertical="center" wrapText="1"/>
    </xf>
    <xf numFmtId="0" fontId="41" fillId="4" borderId="70" xfId="0" applyFont="1" applyFill="1" applyBorder="1" applyAlignment="1">
      <alignment horizontal="justify" vertical="center" wrapText="1"/>
    </xf>
    <xf numFmtId="0" fontId="8" fillId="4" borderId="28"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42" fillId="4" borderId="3" xfId="0" applyFont="1" applyFill="1" applyBorder="1" applyAlignment="1">
      <alignment horizontal="left" vertical="top" wrapText="1"/>
    </xf>
    <xf numFmtId="0" fontId="42" fillId="4" borderId="2" xfId="0" applyFont="1" applyFill="1" applyBorder="1" applyAlignment="1">
      <alignment horizontal="left" vertical="top" wrapText="1"/>
    </xf>
    <xf numFmtId="0" fontId="3" fillId="4" borderId="28"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4" xfId="0" applyFont="1" applyFill="1" applyBorder="1" applyAlignment="1">
      <alignment horizontal="center" vertical="center" wrapText="1"/>
    </xf>
    <xf numFmtId="0" fontId="42" fillId="4" borderId="3" xfId="0" applyFont="1" applyFill="1" applyBorder="1" applyAlignment="1">
      <alignment horizontal="left" vertical="center" wrapText="1"/>
    </xf>
    <xf numFmtId="0" fontId="42" fillId="4" borderId="2" xfId="0" applyFont="1" applyFill="1" applyBorder="1" applyAlignment="1">
      <alignment horizontal="left" vertical="center" wrapText="1"/>
    </xf>
    <xf numFmtId="0" fontId="25" fillId="4" borderId="15" xfId="0" applyFont="1" applyFill="1" applyBorder="1" applyAlignment="1">
      <alignment horizontal="left" vertical="top" wrapText="1"/>
    </xf>
    <xf numFmtId="0" fontId="25" fillId="4" borderId="18" xfId="0" applyFont="1" applyFill="1" applyBorder="1" applyAlignment="1">
      <alignment horizontal="left" vertical="top" wrapText="1"/>
    </xf>
    <xf numFmtId="0" fontId="3" fillId="4" borderId="23" xfId="0" applyFont="1" applyFill="1" applyBorder="1" applyAlignment="1">
      <alignment horizontal="center" vertical="center" wrapText="1"/>
    </xf>
    <xf numFmtId="0" fontId="41" fillId="4" borderId="3" xfId="0" applyFont="1" applyFill="1" applyBorder="1" applyAlignment="1">
      <alignment horizontal="justify" vertical="center" wrapText="1"/>
    </xf>
    <xf numFmtId="0" fontId="41" fillId="4" borderId="2" xfId="0" applyFont="1" applyFill="1" applyBorder="1" applyAlignment="1">
      <alignment horizontal="justify" vertical="center" wrapText="1"/>
    </xf>
    <xf numFmtId="0" fontId="26" fillId="4" borderId="15" xfId="0" applyFont="1" applyFill="1" applyBorder="1" applyAlignment="1">
      <alignment horizontal="left" vertical="top" wrapText="1"/>
    </xf>
    <xf numFmtId="0" fontId="26" fillId="4" borderId="18" xfId="0" applyFont="1" applyFill="1" applyBorder="1" applyAlignment="1">
      <alignment horizontal="left" vertical="top" wrapText="1"/>
    </xf>
    <xf numFmtId="0" fontId="3" fillId="9" borderId="75" xfId="0" applyFont="1" applyFill="1" applyBorder="1" applyAlignment="1">
      <alignment horizontal="center" vertical="center" wrapText="1"/>
    </xf>
    <xf numFmtId="0" fontId="3" fillId="9" borderId="76" xfId="0" applyFont="1" applyFill="1" applyBorder="1" applyAlignment="1">
      <alignment horizontal="center" vertical="center" wrapText="1"/>
    </xf>
    <xf numFmtId="0" fontId="8" fillId="4" borderId="22"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3" xfId="0" applyFont="1" applyFill="1" applyBorder="1" applyAlignment="1">
      <alignment horizontal="center" vertical="center"/>
    </xf>
    <xf numFmtId="0" fontId="41" fillId="4" borderId="0" xfId="0" applyFont="1" applyFill="1" applyBorder="1" applyAlignment="1">
      <alignment horizontal="left" vertical="center" wrapText="1"/>
    </xf>
    <xf numFmtId="0" fontId="41" fillId="4" borderId="3" xfId="0" applyFont="1" applyFill="1" applyBorder="1" applyAlignment="1">
      <alignment horizontal="left" vertical="top" wrapText="1"/>
    </xf>
    <xf numFmtId="0" fontId="41" fillId="4" borderId="2" xfId="0" applyFont="1" applyFill="1" applyBorder="1" applyAlignment="1">
      <alignment horizontal="left" vertical="top" wrapText="1"/>
    </xf>
    <xf numFmtId="0" fontId="41" fillId="4" borderId="3" xfId="0" applyFont="1" applyFill="1" applyBorder="1" applyAlignment="1">
      <alignment horizontal="left" vertical="center" wrapText="1"/>
    </xf>
    <xf numFmtId="0" fontId="41" fillId="4" borderId="2" xfId="0" applyFont="1" applyFill="1" applyBorder="1" applyAlignment="1">
      <alignment horizontal="left" vertical="center" wrapText="1"/>
    </xf>
    <xf numFmtId="0" fontId="3" fillId="7" borderId="73" xfId="0" applyFont="1" applyFill="1" applyBorder="1" applyAlignment="1">
      <alignment horizontal="center" vertical="center" wrapText="1"/>
    </xf>
    <xf numFmtId="0" fontId="3" fillId="7" borderId="74" xfId="0" applyFont="1" applyFill="1" applyBorder="1" applyAlignment="1">
      <alignment horizontal="center" vertical="center" wrapText="1"/>
    </xf>
    <xf numFmtId="169" fontId="25" fillId="9" borderId="40" xfId="0" applyNumberFormat="1" applyFont="1" applyFill="1" applyBorder="1" applyAlignment="1">
      <alignment horizontal="center" vertical="center" wrapText="1"/>
    </xf>
    <xf numFmtId="169" fontId="25" fillId="9" borderId="38" xfId="0" applyNumberFormat="1"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49" fillId="11" borderId="8" xfId="0" applyFont="1" applyFill="1" applyBorder="1" applyAlignment="1">
      <alignment horizontal="center" vertical="center" wrapText="1"/>
    </xf>
    <xf numFmtId="0" fontId="49" fillId="11" borderId="34" xfId="0" applyFont="1" applyFill="1" applyBorder="1" applyAlignment="1">
      <alignment horizontal="center" vertical="center"/>
    </xf>
  </cellXfs>
  <cellStyles count="6">
    <cellStyle name="Hipersaitas" xfId="1" builtinId="8"/>
    <cellStyle name="Įprastas" xfId="0" builtinId="0"/>
    <cellStyle name="Normal 18" xfId="3" xr:uid="{1A4A2765-3B13-476A-B988-826493B987E5}"/>
    <cellStyle name="Normal 4" xfId="4" xr:uid="{C366F9C7-F114-4B72-8C90-9D319E9CA060}"/>
    <cellStyle name="Normal 5" xfId="5" xr:uid="{2DD1DBB4-8FD1-4DD8-8AD9-21E3254968C6}"/>
    <cellStyle name="Normal 6" xfId="2" xr:uid="{39C61853-18A8-4376-BEEE-408C39E94774}"/>
  </cellStyles>
  <dxfs count="0"/>
  <tableStyles count="0" defaultTableStyle="TableStyleMedium2" defaultPivotStyle="PivotStyleLight16"/>
  <colors>
    <mruColors>
      <color rgb="FFB5DDF0"/>
      <color rgb="FFC9D6D9"/>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0</xdr:row>
      <xdr:rowOff>144780</xdr:rowOff>
    </xdr:from>
    <xdr:to>
      <xdr:col>3</xdr:col>
      <xdr:colOff>2228806</xdr:colOff>
      <xdr:row>0</xdr:row>
      <xdr:rowOff>1203960</xdr:rowOff>
    </xdr:to>
    <xdr:pic>
      <xdr:nvPicPr>
        <xdr:cNvPr id="4" name="Paveikslėlis 3"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52EB93B5-16DA-401D-A594-4AE8351166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14478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23</xdr:row>
      <xdr:rowOff>127014</xdr:rowOff>
    </xdr:from>
    <xdr:to>
      <xdr:col>4</xdr:col>
      <xdr:colOff>599327</xdr:colOff>
      <xdr:row>24</xdr:row>
      <xdr:rowOff>185684</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31</xdr:row>
      <xdr:rowOff>279621</xdr:rowOff>
    </xdr:from>
    <xdr:to>
      <xdr:col>4</xdr:col>
      <xdr:colOff>1269615</xdr:colOff>
      <xdr:row>31</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〖0,5⋅Y〗_np10t</a:t>
              </a:r>
              <a:endParaRPr lang="lt-LT" sz="800" i="0"/>
            </a:p>
          </xdr:txBody>
        </xdr:sp>
      </mc:Fallback>
    </mc:AlternateContent>
    <xdr:clientData/>
  </xdr:twoCellAnchor>
  <xdr:twoCellAnchor editAs="oneCell">
    <xdr:from>
      <xdr:col>3</xdr:col>
      <xdr:colOff>193812</xdr:colOff>
      <xdr:row>33</xdr:row>
      <xdr:rowOff>94256</xdr:rowOff>
    </xdr:from>
    <xdr:to>
      <xdr:col>4</xdr:col>
      <xdr:colOff>1393030</xdr:colOff>
      <xdr:row>33</xdr:row>
      <xdr:rowOff>750094</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ad>
                          <m:radPr>
                            <m:ctrlPr>
                              <a:rPr lang="en-US" sz="1100" b="0" i="1" baseline="0">
                                <a:effectLst/>
                                <a:latin typeface="Cambria Math" panose="02040503050406030204" pitchFamily="18" charset="0"/>
                                <a:ea typeface="+mn-ea"/>
                                <a:cs typeface="+mn-cs"/>
                              </a:rPr>
                            </m:ctrlPr>
                          </m:radPr>
                          <m:deg>
                            <m:r>
                              <m:rPr>
                                <m:brk m:alnAt="7"/>
                              </m:rPr>
                              <a:rPr lang="en-US" sz="1100" b="0" i="1" baseline="0">
                                <a:effectLst/>
                                <a:latin typeface="Cambria Math" panose="02040503050406030204" pitchFamily="18" charset="0"/>
                                <a:ea typeface="+mn-ea"/>
                                <a:cs typeface="+mn-cs"/>
                              </a:rPr>
                              <m:t>1</m:t>
                            </m:r>
                            <m:r>
                              <a:rPr lang="en-US" sz="1100" b="0" i="1" baseline="0">
                                <a:effectLst/>
                                <a:latin typeface="Cambria Math" panose="02040503050406030204" pitchFamily="18" charset="0"/>
                                <a:ea typeface="+mn-ea"/>
                                <a:cs typeface="+mn-cs"/>
                              </a:rPr>
                              <m:t>0</m:t>
                            </m:r>
                          </m:deg>
                          <m:e>
                            <m:f>
                              <m:fPr>
                                <m:ctrlPr>
                                  <a:rPr lang="en-US" sz="1100" b="0" i="1" baseline="0">
                                    <a:effectLst/>
                                    <a:latin typeface="Cambria Math" panose="02040503050406030204" pitchFamily="18" charset="0"/>
                                    <a:ea typeface="+mn-ea"/>
                                    <a:cs typeface="+mn-cs"/>
                                  </a:rPr>
                                </m:ctrlPr>
                              </m:fPr>
                              <m:num>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d>
                                  <m:dPr>
                                    <m:ctrlPr>
                                      <a:rPr lang="en-US" sz="1100" b="0" i="1" baseline="0">
                                        <a:effectLst/>
                                        <a:latin typeface="Cambria Math" panose="02040503050406030204" pitchFamily="18" charset="0"/>
                                        <a:ea typeface="+mn-ea"/>
                                        <a:cs typeface="+mn-cs"/>
                                      </a:rPr>
                                    </m:ctrlPr>
                                  </m:dPr>
                                  <m:e>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+2</m:t>
                                    </m:r>
                                  </m:e>
                                </m:d>
                              </m:num>
                              <m:den>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r>
                                  <a:rPr lang="en-US" sz="1100" b="0" i="1" baseline="0">
                                    <a:effectLst/>
                                    <a:latin typeface="Cambria Math" panose="02040503050406030204" pitchFamily="18" charset="0"/>
                                    <a:ea typeface="+mn-ea"/>
                                    <a:cs typeface="+mn-cs"/>
                                  </a:rPr>
                                  <m:t>(</m:t>
                                </m:r>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−8)</m:t>
                                </m:r>
                              </m:den>
                            </m:f>
                          </m:e>
                        </m:rad>
                        <m:sSub>
                          <m:sSubPr>
                            <m:ctrlPr>
                              <a:rPr lang="en-US" sz="1100" b="0" i="1" baseline="0">
                                <a:effectLst/>
                                <a:latin typeface="Cambria Math" panose="02040503050406030204" pitchFamily="18" charset="0"/>
                                <a:ea typeface="+mn-ea"/>
                                <a:cs typeface="+mn-cs"/>
                              </a:rPr>
                            </m:ctrlPr>
                          </m:sSubPr>
                          <m:e>
                            <m:r>
                              <a:rPr lang="en-US" sz="1100" b="0" i="1" baseline="0">
                                <a:effectLst/>
                                <a:latin typeface="Cambria Math" panose="02040503050406030204" pitchFamily="18" charset="0"/>
                                <a:ea typeface="+mn-ea"/>
                                <a:cs typeface="+mn-cs"/>
                              </a:rPr>
                              <m:t>𝑑</m:t>
                            </m:r>
                          </m:e>
                          <m:sub>
                            <m:r>
                              <a:rPr lang="en-US" sz="1100" b="0" i="1" baseline="0">
                                <a:effectLst/>
                                <a:latin typeface="Cambria Math" panose="02040503050406030204" pitchFamily="18" charset="0"/>
                                <a:ea typeface="+mn-ea"/>
                                <a:cs typeface="+mn-cs"/>
                              </a:rPr>
                              <m:t>𝑡</m:t>
                            </m:r>
                          </m:sub>
                        </m:sSub>
                        <m:r>
                          <a:rPr lang="en-US" sz="1100" b="0" i="1" baseline="0">
                            <a:effectLst/>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∗100</m:t>
                    </m:r>
                  </m:oMath>
                </m:oMathPara>
              </a14:m>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r>
                <a:rPr lang="en-US" sz="1100" b="0" i="0" baseline="0">
                  <a:effectLst/>
                  <a:latin typeface="+mn-lt"/>
                  <a:ea typeface="+mn-ea"/>
                  <a:cs typeface="+mn-cs"/>
                </a:rPr>
                <a:t>10&amp;(Y^∗ (t+2))/(Y^∗ (t−8)))𝑑_𝑡−</a:t>
              </a:r>
              <a:r>
                <a:rPr lang="en-US" sz="1100" b="0" i="0" baseline="0">
                  <a:effectLst/>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)∗100</a:t>
              </a:r>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27</xdr:row>
      <xdr:rowOff>200504</xdr:rowOff>
    </xdr:from>
    <xdr:to>
      <xdr:col>4</xdr:col>
      <xdr:colOff>890124</xdr:colOff>
      <xdr:row>28</xdr:row>
      <xdr:rowOff>194817</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13</xdr:row>
      <xdr:rowOff>78342</xdr:rowOff>
    </xdr:from>
    <xdr:to>
      <xdr:col>4</xdr:col>
      <xdr:colOff>1025270</xdr:colOff>
      <xdr:row>15</xdr:row>
      <xdr:rowOff>217420</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7</xdr:row>
      <xdr:rowOff>177586</xdr:rowOff>
    </xdr:from>
    <xdr:to>
      <xdr:col>4</xdr:col>
      <xdr:colOff>1194660</xdr:colOff>
      <xdr:row>9</xdr:row>
      <xdr:rowOff>354794</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580496</xdr:colOff>
      <xdr:row>31</xdr:row>
      <xdr:rowOff>738132</xdr:rowOff>
    </xdr:from>
    <xdr:to>
      <xdr:col>4</xdr:col>
      <xdr:colOff>852569</xdr:colOff>
      <xdr:row>33</xdr:row>
      <xdr:rowOff>10433</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theme/theme1.xml><?xml version="1.0" encoding="utf-8"?>
<a:theme xmlns:a="http://schemas.openxmlformats.org/drawingml/2006/main" name="„Office“ tema">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theme="7" tint="-0.499984740745262"/>
  </sheetPr>
  <dimension ref="C1:G32"/>
  <sheetViews>
    <sheetView showGridLines="0" showRowColHeaders="0" tabSelected="1" workbookViewId="0">
      <selection activeCell="B1" sqref="B1"/>
    </sheetView>
  </sheetViews>
  <sheetFormatPr defaultColWidth="10" defaultRowHeight="13.8" x14ac:dyDescent="0.25"/>
  <cols>
    <col min="1" max="1" width="0.44140625" style="48" customWidth="1"/>
    <col min="2" max="2" width="3.5546875" style="48" customWidth="1"/>
    <col min="3" max="3" width="4.5546875" style="58" customWidth="1"/>
    <col min="4" max="4" width="99.6640625" style="58" customWidth="1"/>
    <col min="5" max="5" width="3.6640625" style="48" customWidth="1"/>
    <col min="6" max="6" width="10" style="48"/>
    <col min="7" max="7" width="10.5546875" style="48" customWidth="1"/>
    <col min="8" max="16384" width="10" style="48"/>
  </cols>
  <sheetData>
    <row r="1" spans="3:7" ht="109.5" customHeight="1" thickBot="1" x14ac:dyDescent="0.3">
      <c r="C1" s="294"/>
      <c r="D1" s="295"/>
      <c r="E1" s="296"/>
    </row>
    <row r="2" spans="3:7" x14ac:dyDescent="0.25">
      <c r="C2" s="67"/>
      <c r="D2" s="68"/>
      <c r="E2" s="69"/>
    </row>
    <row r="3" spans="3:7" ht="35.25" customHeight="1" x14ac:dyDescent="0.25">
      <c r="C3" s="297" t="s">
        <v>0</v>
      </c>
      <c r="D3" s="298"/>
      <c r="E3" s="70"/>
    </row>
    <row r="4" spans="3:7" x14ac:dyDescent="0.25">
      <c r="C4" s="71"/>
      <c r="D4" s="72"/>
      <c r="E4" s="73"/>
    </row>
    <row r="5" spans="3:7" ht="16.2" customHeight="1" x14ac:dyDescent="0.25">
      <c r="C5" s="299" t="s">
        <v>313</v>
      </c>
      <c r="D5" s="300"/>
      <c r="E5" s="74"/>
      <c r="G5" s="57"/>
    </row>
    <row r="6" spans="3:7" x14ac:dyDescent="0.25">
      <c r="C6" s="71"/>
      <c r="D6" s="72"/>
      <c r="E6" s="73"/>
    </row>
    <row r="7" spans="3:7" ht="17.399999999999999" x14ac:dyDescent="0.3">
      <c r="C7" s="301" t="s">
        <v>1</v>
      </c>
      <c r="D7" s="302"/>
      <c r="E7" s="75"/>
    </row>
    <row r="8" spans="3:7" x14ac:dyDescent="0.25">
      <c r="C8" s="71"/>
      <c r="D8" s="72"/>
      <c r="E8" s="73"/>
    </row>
    <row r="9" spans="3:7" ht="171.75" customHeight="1" x14ac:dyDescent="0.25">
      <c r="C9" s="71"/>
      <c r="D9" s="76" t="s">
        <v>281</v>
      </c>
      <c r="E9" s="77"/>
    </row>
    <row r="10" spans="3:7" x14ac:dyDescent="0.25">
      <c r="C10" s="71"/>
      <c r="D10" s="72"/>
      <c r="E10" s="73"/>
    </row>
    <row r="11" spans="3:7" ht="17.399999999999999" x14ac:dyDescent="0.3">
      <c r="C11" s="301" t="s">
        <v>282</v>
      </c>
      <c r="D11" s="302"/>
      <c r="E11" s="78"/>
    </row>
    <row r="12" spans="3:7" x14ac:dyDescent="0.25">
      <c r="C12" s="71"/>
      <c r="D12" s="72"/>
      <c r="E12" s="73"/>
    </row>
    <row r="13" spans="3:7" x14ac:dyDescent="0.25">
      <c r="C13" s="71"/>
      <c r="D13" s="79" t="s">
        <v>2</v>
      </c>
      <c r="E13" s="73"/>
    </row>
    <row r="14" spans="3:7" x14ac:dyDescent="0.25">
      <c r="C14" s="71"/>
      <c r="D14" s="72"/>
      <c r="E14" s="73"/>
    </row>
    <row r="15" spans="3:7" ht="17.399999999999999" x14ac:dyDescent="0.3">
      <c r="C15" s="301" t="s">
        <v>3</v>
      </c>
      <c r="D15" s="302"/>
      <c r="E15" s="75"/>
    </row>
    <row r="16" spans="3:7" x14ac:dyDescent="0.25">
      <c r="C16" s="71"/>
      <c r="D16" s="72"/>
      <c r="E16" s="73"/>
    </row>
    <row r="17" spans="3:5" x14ac:dyDescent="0.25">
      <c r="C17" s="71"/>
      <c r="D17" s="79" t="s">
        <v>4</v>
      </c>
      <c r="E17" s="73"/>
    </row>
    <row r="18" spans="3:5" x14ac:dyDescent="0.25">
      <c r="C18" s="71"/>
      <c r="D18" s="79" t="s">
        <v>5</v>
      </c>
      <c r="E18" s="73"/>
    </row>
    <row r="19" spans="3:5" x14ac:dyDescent="0.25">
      <c r="C19" s="71"/>
      <c r="D19" s="72"/>
      <c r="E19" s="73"/>
    </row>
    <row r="20" spans="3:5" ht="17.399999999999999" x14ac:dyDescent="0.3">
      <c r="C20" s="301" t="s">
        <v>6</v>
      </c>
      <c r="D20" s="302"/>
      <c r="E20" s="75"/>
    </row>
    <row r="21" spans="3:5" x14ac:dyDescent="0.25">
      <c r="C21" s="71"/>
      <c r="D21" s="72"/>
      <c r="E21" s="73"/>
    </row>
    <row r="22" spans="3:5" x14ac:dyDescent="0.25">
      <c r="C22" s="71"/>
      <c r="D22" s="79" t="s">
        <v>7</v>
      </c>
      <c r="E22" s="73"/>
    </row>
    <row r="23" spans="3:5" x14ac:dyDescent="0.25">
      <c r="C23" s="71"/>
      <c r="D23" s="79" t="s">
        <v>8</v>
      </c>
      <c r="E23" s="73"/>
    </row>
    <row r="24" spans="3:5" x14ac:dyDescent="0.25">
      <c r="C24" s="71"/>
      <c r="D24" s="79" t="s">
        <v>9</v>
      </c>
      <c r="E24" s="73"/>
    </row>
    <row r="25" spans="3:5" x14ac:dyDescent="0.25">
      <c r="C25" s="80"/>
      <c r="D25" s="72"/>
      <c r="E25" s="73"/>
    </row>
    <row r="26" spans="3:5" ht="17.399999999999999" x14ac:dyDescent="0.3">
      <c r="C26" s="301" t="s">
        <v>10</v>
      </c>
      <c r="D26" s="302"/>
      <c r="E26" s="75"/>
    </row>
    <row r="27" spans="3:5" x14ac:dyDescent="0.25">
      <c r="C27" s="71"/>
      <c r="D27" s="72"/>
      <c r="E27" s="73"/>
    </row>
    <row r="28" spans="3:5" x14ac:dyDescent="0.25">
      <c r="C28" s="71" t="s">
        <v>11</v>
      </c>
      <c r="D28" s="81" t="s">
        <v>12</v>
      </c>
      <c r="E28" s="73"/>
    </row>
    <row r="29" spans="3:5" ht="14.4" x14ac:dyDescent="0.3">
      <c r="C29" s="82" t="s">
        <v>13</v>
      </c>
      <c r="D29" s="83" t="s">
        <v>14</v>
      </c>
      <c r="E29" s="73"/>
    </row>
    <row r="30" spans="3:5" x14ac:dyDescent="0.25">
      <c r="C30" s="71" t="s">
        <v>15</v>
      </c>
      <c r="D30" s="81" t="s">
        <v>16</v>
      </c>
      <c r="E30" s="73"/>
    </row>
    <row r="31" spans="3:5" ht="14.4" x14ac:dyDescent="0.3">
      <c r="C31" s="82" t="s">
        <v>17</v>
      </c>
      <c r="D31" s="83" t="s">
        <v>18</v>
      </c>
      <c r="E31" s="73"/>
    </row>
    <row r="32" spans="3:5" ht="9.6" customHeight="1" thickBot="1" x14ac:dyDescent="0.3">
      <c r="C32" s="84"/>
      <c r="D32" s="85"/>
      <c r="E32" s="86"/>
    </row>
  </sheetData>
  <mergeCells count="8">
    <mergeCell ref="C1:E1"/>
    <mergeCell ref="C3:D3"/>
    <mergeCell ref="C5:D5"/>
    <mergeCell ref="C7:D7"/>
    <mergeCell ref="C26:D26"/>
    <mergeCell ref="C11:D11"/>
    <mergeCell ref="C15:D15"/>
    <mergeCell ref="C20:D20"/>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28" r:id="rId1" display="http://www3.lrs.lt/pls/inter3/dokpaieska.showdoc_l?p_id=487268&amp;p_tr2=2" xr:uid="{DDC9A2C8-E1C0-4CF4-BC74-7FF78E256ED8}"/>
    <hyperlink ref="D30" r:id="rId2" display="Lietuvos Respublikos fiskalinės drausmės įstatymas" xr:uid="{F4FFA9C7-1444-4704-90F5-2ECFABD928E1}"/>
    <hyperlink ref="D31" r:id="rId3" xr:uid="{3C5B1BA1-E78A-448A-B1EF-3C53FDDD686B}"/>
    <hyperlink ref="D29" r:id="rId4" xr:uid="{AB0085CB-F5E8-4B40-995B-4E4EFCC9A3FD}"/>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theme="7"/>
  </sheetPr>
  <dimension ref="A1:E37"/>
  <sheetViews>
    <sheetView showGridLines="0" showRowColHeaders="0" zoomScaleNormal="100" workbookViewId="0">
      <selection activeCell="B1" sqref="B1"/>
    </sheetView>
  </sheetViews>
  <sheetFormatPr defaultColWidth="10" defaultRowHeight="13.8" x14ac:dyDescent="0.25"/>
  <cols>
    <col min="1" max="1" width="4.33203125" style="1" customWidth="1"/>
    <col min="2" max="2" width="59.109375" style="5" customWidth="1"/>
    <col min="3" max="4" width="19.44140625" style="5" customWidth="1"/>
    <col min="5" max="5" width="9.44140625" style="1" customWidth="1"/>
    <col min="6" max="6" width="51.6640625" style="1" customWidth="1"/>
    <col min="7" max="16384" width="10" style="1"/>
  </cols>
  <sheetData>
    <row r="1" spans="1:4" x14ac:dyDescent="0.25">
      <c r="B1" s="87" t="s">
        <v>19</v>
      </c>
      <c r="C1" s="3"/>
      <c r="D1" s="3"/>
    </row>
    <row r="2" spans="1:4" ht="14.4" thickBot="1" x14ac:dyDescent="0.3">
      <c r="A2" s="4" t="s">
        <v>20</v>
      </c>
    </row>
    <row r="3" spans="1:4" ht="35.25" customHeight="1" thickTop="1" thickBot="1" x14ac:dyDescent="0.3">
      <c r="B3" s="317" t="s">
        <v>283</v>
      </c>
      <c r="C3" s="318"/>
      <c r="D3" s="319"/>
    </row>
    <row r="4" spans="1:4" ht="17.25" customHeight="1" thickBot="1" x14ac:dyDescent="0.3">
      <c r="B4" s="214" t="s">
        <v>21</v>
      </c>
      <c r="C4" s="323"/>
      <c r="D4" s="324"/>
    </row>
    <row r="5" spans="1:4" ht="33" customHeight="1" thickBot="1" x14ac:dyDescent="0.3">
      <c r="B5" s="215" t="s">
        <v>22</v>
      </c>
      <c r="C5" s="123" t="s">
        <v>23</v>
      </c>
      <c r="D5" s="136" t="s">
        <v>24</v>
      </c>
    </row>
    <row r="6" spans="1:4" ht="17.25" customHeight="1" x14ac:dyDescent="0.25">
      <c r="B6" s="216" t="s">
        <v>28</v>
      </c>
      <c r="C6" s="327" t="str">
        <f>'4. SurplusGG'!E6</f>
        <v>Taip</v>
      </c>
      <c r="D6" s="328"/>
    </row>
    <row r="7" spans="1:4" ht="17.25" customHeight="1" thickBot="1" x14ac:dyDescent="0.3">
      <c r="B7" s="217" t="s">
        <v>29</v>
      </c>
      <c r="C7" s="329" t="str">
        <f>'4. SurplusGG'!E7</f>
        <v>Yes</v>
      </c>
      <c r="D7" s="330"/>
    </row>
    <row r="8" spans="1:4" ht="17.399999999999999" customHeight="1" thickBot="1" x14ac:dyDescent="0.3">
      <c r="B8" s="320" t="s">
        <v>25</v>
      </c>
      <c r="C8" s="321"/>
      <c r="D8" s="322"/>
    </row>
    <row r="9" spans="1:4" ht="17.399999999999999" customHeight="1" thickBot="1" x14ac:dyDescent="0.3">
      <c r="B9" s="315" t="s">
        <v>26</v>
      </c>
      <c r="C9" s="126" t="str">
        <f>'4. SurplusGG'!E20</f>
        <v>Netaikoma</v>
      </c>
      <c r="D9" s="134" t="str">
        <f>'4. SurplusGG'!F20</f>
        <v>Netaikoma</v>
      </c>
    </row>
    <row r="10" spans="1:4" ht="53.4" customHeight="1" x14ac:dyDescent="0.25">
      <c r="B10" s="316"/>
      <c r="C10" s="128" t="str">
        <f>'4. SurplusGG'!E21</f>
        <v>Paskelbtos išskirtinės aplinkybės</v>
      </c>
      <c r="D10" s="130" t="str">
        <f>'4. SurplusGG'!F21</f>
        <v>Paskelbtos išskirtinės aplinkybės</v>
      </c>
    </row>
    <row r="11" spans="1:4" ht="15.75" customHeight="1" thickBot="1" x14ac:dyDescent="0.3">
      <c r="B11" s="325" t="s">
        <v>27</v>
      </c>
      <c r="C11" s="180" t="str">
        <f>'4. SurplusGG'!E22</f>
        <v>Not applicable</v>
      </c>
      <c r="D11" s="213" t="str">
        <f>'4. SurplusGG'!F22</f>
        <v>Not applicable</v>
      </c>
    </row>
    <row r="12" spans="1:4" ht="33" customHeight="1" thickBot="1" x14ac:dyDescent="0.3">
      <c r="B12" s="326"/>
      <c r="C12" s="127" t="str">
        <f>'4. SurplusGG'!E23</f>
        <v>Exceptional circumstances</v>
      </c>
      <c r="D12" s="135" t="str">
        <f>'4. SurplusGG'!F23</f>
        <v>Exceptional circumstances</v>
      </c>
    </row>
    <row r="13" spans="1:4" ht="21" customHeight="1" thickBot="1" x14ac:dyDescent="0.3">
      <c r="B13" s="303" t="s">
        <v>30</v>
      </c>
      <c r="C13" s="304"/>
      <c r="D13" s="305"/>
    </row>
    <row r="14" spans="1:4" ht="18" customHeight="1" thickBot="1" x14ac:dyDescent="0.3">
      <c r="B14" s="310" t="s">
        <v>31</v>
      </c>
      <c r="C14" s="126" t="str">
        <f>'5. GGexpenditure'!F23</f>
        <v>Taip</v>
      </c>
      <c r="D14" s="134" t="str">
        <f>'5. GGexpenditure'!G23</f>
        <v>Taip</v>
      </c>
    </row>
    <row r="15" spans="1:4" ht="48.75" customHeight="1" x14ac:dyDescent="0.25">
      <c r="B15" s="311"/>
      <c r="C15" s="128" t="str">
        <f>'5. GGexpenditure'!F24</f>
        <v>Susidaro A5 aplinkybė</v>
      </c>
      <c r="D15" s="130" t="str">
        <f>'5. GGexpenditure'!G24</f>
        <v>Susidaro A5 aplinkybė</v>
      </c>
    </row>
    <row r="16" spans="1:4" ht="18" customHeight="1" x14ac:dyDescent="0.25">
      <c r="B16" s="312" t="s">
        <v>32</v>
      </c>
      <c r="C16" s="180" t="str">
        <f>'5. GGexpenditure'!F25</f>
        <v>Yes</v>
      </c>
      <c r="D16" s="213" t="str">
        <f>'5. GGexpenditure'!G25</f>
        <v>Yes</v>
      </c>
    </row>
    <row r="17" spans="2:4" ht="52.5" customHeight="1" thickBot="1" x14ac:dyDescent="0.3">
      <c r="B17" s="313"/>
      <c r="C17" s="127" t="str">
        <f>'5. GGexpenditure'!F26</f>
        <v>Escape clause A5 emerge</v>
      </c>
      <c r="D17" s="135" t="str">
        <f>'5. GGexpenditure'!G26</f>
        <v>Escape clause A5 emerge</v>
      </c>
    </row>
    <row r="18" spans="2:4" ht="22.5" customHeight="1" x14ac:dyDescent="0.25">
      <c r="B18" s="311" t="s">
        <v>33</v>
      </c>
      <c r="C18" s="126" t="str">
        <f>'5. GGexpenditure'!F31</f>
        <v>Netaikoma</v>
      </c>
      <c r="D18" s="134" t="str">
        <f>'5. GGexpenditure'!G31</f>
        <v>Netaikoma</v>
      </c>
    </row>
    <row r="19" spans="2:4" ht="69" customHeight="1" x14ac:dyDescent="0.25">
      <c r="B19" s="314"/>
      <c r="C19" s="128" t="str">
        <f>'5. GGexpenditure'!F32</f>
        <v>Paskelbtos išskirtinės aplinkybės</v>
      </c>
      <c r="D19" s="130" t="str">
        <f>'5. GGexpenditure'!G32</f>
        <v>Paskelbtos išskirtinės aplinkybės</v>
      </c>
    </row>
    <row r="20" spans="2:4" ht="14.4" x14ac:dyDescent="0.25">
      <c r="B20" s="312" t="s">
        <v>34</v>
      </c>
      <c r="C20" s="180" t="str">
        <f>'5. GGexpenditure'!F33</f>
        <v>Not applied</v>
      </c>
      <c r="D20" s="213" t="str">
        <f>'5. GGexpenditure'!G33</f>
        <v>Not applied</v>
      </c>
    </row>
    <row r="21" spans="2:4" ht="64.5" customHeight="1" thickBot="1" x14ac:dyDescent="0.3">
      <c r="B21" s="313"/>
      <c r="C21" s="127" t="str">
        <f>'5. GGexpenditure'!F34</f>
        <v>Exceptional Circumstances</v>
      </c>
      <c r="D21" s="135" t="str">
        <f>'5. GGexpenditure'!G34</f>
        <v>Exceptional Circumstances</v>
      </c>
    </row>
    <row r="22" spans="2:4" ht="19.5" customHeight="1" x14ac:dyDescent="0.25">
      <c r="B22" s="218" t="s">
        <v>35</v>
      </c>
      <c r="C22" s="126" t="str">
        <f>'5. GGexpenditure'!F31</f>
        <v>Netaikoma</v>
      </c>
      <c r="D22" s="134" t="str">
        <f>'5. GGexpenditure'!G31</f>
        <v>Netaikoma</v>
      </c>
    </row>
    <row r="23" spans="2:4" ht="15" thickBot="1" x14ac:dyDescent="0.3">
      <c r="B23" s="217" t="s">
        <v>36</v>
      </c>
      <c r="C23" s="127" t="str">
        <f>'5. GGexpenditure'!F33</f>
        <v>Not applied</v>
      </c>
      <c r="D23" s="135" t="str">
        <f>'5. GGexpenditure'!G33</f>
        <v>Not applied</v>
      </c>
    </row>
    <row r="24" spans="2:4" ht="15.75" customHeight="1" thickBot="1" x14ac:dyDescent="0.3">
      <c r="B24" s="303" t="s">
        <v>37</v>
      </c>
      <c r="C24" s="304" t="s">
        <v>38</v>
      </c>
      <c r="D24" s="305"/>
    </row>
    <row r="25" spans="2:4" ht="82.8" x14ac:dyDescent="0.25">
      <c r="B25" s="218" t="s">
        <v>39</v>
      </c>
      <c r="C25" s="124" t="str">
        <f>'6. GGbudgets'!E6:E6</f>
        <v>Savivaldybių biudžetų atitiktis fiskalinės drausmės taisyklėms bus vertinama 2023 m. birželio mėn.</v>
      </c>
      <c r="D25" s="132" t="str">
        <f>'6. GGbudgets'!F6:F6</f>
        <v>Savivaldybių biudžetų atitiktis fiskalinės drausmės taisyklėms bus vertinama 2023 m. birželio mėn.</v>
      </c>
    </row>
    <row r="26" spans="2:4" ht="29.4" thickBot="1" x14ac:dyDescent="0.3">
      <c r="B26" s="217" t="s">
        <v>40</v>
      </c>
      <c r="C26" s="125" t="str">
        <f>'6. GGbudgets'!E7:E7</f>
        <v>Will be assessed in June 2023</v>
      </c>
      <c r="D26" s="133" t="str">
        <f>'6. GGbudgets'!F7:F7</f>
        <v>Will be assessed in June 2023</v>
      </c>
    </row>
    <row r="27" spans="2:4" x14ac:dyDescent="0.25">
      <c r="B27" s="218" t="s">
        <v>41</v>
      </c>
      <c r="C27" s="126" t="str">
        <f>'6. GGbudgets'!E12</f>
        <v>Tenkinama</v>
      </c>
      <c r="D27" s="134" t="str">
        <f>'6. GGbudgets'!F12</f>
        <v>Tenkinama</v>
      </c>
    </row>
    <row r="28" spans="2:4" ht="15" thickBot="1" x14ac:dyDescent="0.3">
      <c r="B28" s="217" t="s">
        <v>42</v>
      </c>
      <c r="C28" s="127" t="str">
        <f>'6. GGbudgets'!E13</f>
        <v>Valid</v>
      </c>
      <c r="D28" s="135" t="str">
        <f>'6. GGbudgets'!F13</f>
        <v>Valid</v>
      </c>
    </row>
    <row r="29" spans="2:4" x14ac:dyDescent="0.25">
      <c r="B29" s="218" t="s">
        <v>43</v>
      </c>
      <c r="C29" s="126" t="str">
        <f>'6. GGbudgets'!E20</f>
        <v>Tenkinama</v>
      </c>
      <c r="D29" s="134" t="str">
        <f>'6. GGbudgets'!F20</f>
        <v>Tenkinama</v>
      </c>
    </row>
    <row r="30" spans="2:4" ht="15" thickBot="1" x14ac:dyDescent="0.3">
      <c r="B30" s="219" t="s">
        <v>44</v>
      </c>
      <c r="C30" s="127" t="str">
        <f>'6. GGbudgets'!E21</f>
        <v>Valid</v>
      </c>
      <c r="D30" s="135" t="str">
        <f>'6. GGbudgets'!F21</f>
        <v>Valid</v>
      </c>
    </row>
    <row r="31" spans="2:4" ht="121.5" customHeight="1" x14ac:dyDescent="0.25">
      <c r="B31" s="220" t="s">
        <v>45</v>
      </c>
      <c r="C31" s="128" t="str">
        <f>'6. GGbudgets'!E22</f>
        <v>Savivaldybių biudžetų atitiktis fiskalinės drausmės taisyklėms bus vertinama 2023 m. birželio mėn.</v>
      </c>
      <c r="D31" s="130" t="str">
        <f>'6. GGbudgets'!F22</f>
        <v>Savivaldybių biudžetų atitiktis fiskalinės drausmės taisyklėms bus vertinama 2023 m. birželio mėn.</v>
      </c>
    </row>
    <row r="32" spans="2:4" ht="48.75" customHeight="1" thickBot="1" x14ac:dyDescent="0.3">
      <c r="B32" s="221" t="s">
        <v>46</v>
      </c>
      <c r="C32" s="129" t="str">
        <f>'6. GGbudgets'!E23</f>
        <v>Will be assessed in June 2023</v>
      </c>
      <c r="D32" s="131" t="str">
        <f>'6. GGbudgets'!F23</f>
        <v>Will be assessed in June 2023</v>
      </c>
    </row>
    <row r="33" spans="2:5" ht="14.4" thickTop="1" x14ac:dyDescent="0.25">
      <c r="B33" s="35"/>
      <c r="C33" s="35"/>
      <c r="D33" s="35"/>
    </row>
    <row r="34" spans="2:5" ht="15" thickBot="1" x14ac:dyDescent="0.35">
      <c r="B34" s="6" t="s">
        <v>47</v>
      </c>
      <c r="C34" s="6"/>
      <c r="D34" s="6"/>
      <c r="E34" s="41" t="s">
        <v>48</v>
      </c>
    </row>
    <row r="35" spans="2:5" ht="15.6" thickTop="1" thickBot="1" x14ac:dyDescent="0.35">
      <c r="B35" s="7" t="s">
        <v>49</v>
      </c>
      <c r="C35" s="306" t="s">
        <v>23</v>
      </c>
      <c r="D35" s="307"/>
      <c r="E35" s="41" t="s">
        <v>50</v>
      </c>
    </row>
    <row r="36" spans="2:5" ht="15" thickBot="1" x14ac:dyDescent="0.35">
      <c r="B36" s="7" t="s">
        <v>51</v>
      </c>
      <c r="C36" s="308" t="s">
        <v>24</v>
      </c>
      <c r="D36" s="309"/>
      <c r="E36" s="56" t="s">
        <v>52</v>
      </c>
    </row>
    <row r="37" spans="2:5" ht="14.4" thickTop="1" x14ac:dyDescent="0.25"/>
  </sheetData>
  <mergeCells count="15">
    <mergeCell ref="B13:D13"/>
    <mergeCell ref="B9:B10"/>
    <mergeCell ref="B3:D3"/>
    <mergeCell ref="B8:D8"/>
    <mergeCell ref="C4:D4"/>
    <mergeCell ref="B11:B12"/>
    <mergeCell ref="C6:D6"/>
    <mergeCell ref="C7:D7"/>
    <mergeCell ref="B24:D24"/>
    <mergeCell ref="C35:D35"/>
    <mergeCell ref="C36:D36"/>
    <mergeCell ref="B14:B15"/>
    <mergeCell ref="B16:B17"/>
    <mergeCell ref="B20:B21"/>
    <mergeCell ref="B18:B19"/>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7"/>
  </sheetPr>
  <dimension ref="A1:R61"/>
  <sheetViews>
    <sheetView showGridLines="0" showRowColHeaders="0" zoomScaleNormal="100" workbookViewId="0">
      <pane ySplit="5" topLeftCell="A6" activePane="bottomLeft" state="frozen"/>
      <selection pane="bottomLeft" activeCell="B1" sqref="B1"/>
    </sheetView>
  </sheetViews>
  <sheetFormatPr defaultColWidth="10" defaultRowHeight="13.8" x14ac:dyDescent="0.25"/>
  <cols>
    <col min="1" max="1" width="4.5546875" style="1" customWidth="1"/>
    <col min="2" max="2" width="51.33203125" style="1" customWidth="1"/>
    <col min="3" max="3" width="40.88671875" style="1" customWidth="1"/>
    <col min="4" max="4" width="21.109375" style="1" customWidth="1"/>
    <col min="5" max="7" width="11.44140625" style="1" customWidth="1"/>
    <col min="8" max="8" width="11.6640625" style="1" customWidth="1"/>
    <col min="9" max="11" width="11.44140625" style="1" customWidth="1"/>
    <col min="12" max="12" width="11.6640625" style="48" customWidth="1"/>
    <col min="13" max="15" width="11.44140625" style="48" customWidth="1"/>
    <col min="16" max="16384" width="10" style="1"/>
  </cols>
  <sheetData>
    <row r="1" spans="1:18" x14ac:dyDescent="0.25">
      <c r="B1" s="87" t="s">
        <v>19</v>
      </c>
      <c r="C1" s="3"/>
      <c r="D1" s="3"/>
    </row>
    <row r="2" spans="1:18" ht="14.4" thickBot="1" x14ac:dyDescent="0.3">
      <c r="A2" s="8" t="s">
        <v>20</v>
      </c>
      <c r="B2" s="9"/>
      <c r="C2" s="9"/>
      <c r="L2" s="52"/>
      <c r="M2" s="52"/>
      <c r="N2" s="52"/>
      <c r="O2" s="52"/>
    </row>
    <row r="3" spans="1:18" ht="40.200000000000003" customHeight="1" thickTop="1" thickBot="1" x14ac:dyDescent="0.3">
      <c r="B3" s="333" t="s">
        <v>53</v>
      </c>
      <c r="C3" s="334"/>
      <c r="D3" s="334"/>
      <c r="E3" s="334"/>
      <c r="F3" s="334"/>
      <c r="G3" s="334"/>
      <c r="H3" s="334"/>
      <c r="I3" s="334"/>
      <c r="J3" s="334"/>
      <c r="K3" s="334"/>
      <c r="L3" s="334"/>
      <c r="M3" s="334"/>
      <c r="N3" s="334"/>
      <c r="O3" s="335"/>
    </row>
    <row r="4" spans="1:18" ht="22.95" customHeight="1" thickBot="1" x14ac:dyDescent="0.3">
      <c r="B4" s="341" t="s">
        <v>54</v>
      </c>
      <c r="C4" s="323" t="s">
        <v>55</v>
      </c>
      <c r="D4" s="342" t="s">
        <v>56</v>
      </c>
      <c r="E4" s="342"/>
      <c r="F4" s="342"/>
      <c r="G4" s="342"/>
      <c r="H4" s="342"/>
      <c r="I4" s="342"/>
      <c r="J4" s="342"/>
      <c r="K4" s="342"/>
      <c r="L4" s="345" t="s">
        <v>273</v>
      </c>
      <c r="M4" s="342"/>
      <c r="N4" s="342"/>
      <c r="O4" s="346"/>
    </row>
    <row r="5" spans="1:18" ht="20.25" customHeight="1" thickBot="1" x14ac:dyDescent="0.3">
      <c r="B5" s="341"/>
      <c r="C5" s="323"/>
      <c r="D5" s="342"/>
      <c r="E5" s="90">
        <f>2015</f>
        <v>2015</v>
      </c>
      <c r="F5" s="90">
        <f>E5+1</f>
        <v>2016</v>
      </c>
      <c r="G5" s="90">
        <f t="shared" ref="G5:K5" si="0">F5+1</f>
        <v>2017</v>
      </c>
      <c r="H5" s="90">
        <f t="shared" si="0"/>
        <v>2018</v>
      </c>
      <c r="I5" s="90">
        <f t="shared" si="0"/>
        <v>2019</v>
      </c>
      <c r="J5" s="90">
        <f t="shared" si="0"/>
        <v>2020</v>
      </c>
      <c r="K5" s="90">
        <f t="shared" si="0"/>
        <v>2021</v>
      </c>
      <c r="L5" s="90" t="str">
        <f>CONCATENATE(K5+1,"P")</f>
        <v>2022P</v>
      </c>
      <c r="M5" s="90" t="str">
        <f>CONCATENATE(K5+2,"P")</f>
        <v>2023P</v>
      </c>
      <c r="N5" s="90" t="str">
        <f>CONCATENATE(K5+3,"P")</f>
        <v>2024P</v>
      </c>
      <c r="O5" s="110" t="str">
        <f>CONCATENATE(K5+4,"P")</f>
        <v>2025P</v>
      </c>
    </row>
    <row r="6" spans="1:18" ht="14.4" thickBot="1" x14ac:dyDescent="0.3">
      <c r="B6" s="111" t="s">
        <v>57</v>
      </c>
      <c r="C6" s="91" t="s">
        <v>58</v>
      </c>
      <c r="D6" s="92"/>
      <c r="E6" s="93" t="s">
        <v>260</v>
      </c>
      <c r="F6" s="93" t="s">
        <v>261</v>
      </c>
      <c r="G6" s="93" t="s">
        <v>262</v>
      </c>
      <c r="H6" s="93" t="s">
        <v>263</v>
      </c>
      <c r="I6" s="93" t="s">
        <v>264</v>
      </c>
      <c r="J6" s="93" t="s">
        <v>265</v>
      </c>
      <c r="K6" s="93" t="s">
        <v>59</v>
      </c>
      <c r="L6" s="93" t="s">
        <v>60</v>
      </c>
      <c r="M6" s="93" t="s">
        <v>61</v>
      </c>
      <c r="N6" s="93" t="s">
        <v>62</v>
      </c>
      <c r="O6" s="112" t="s">
        <v>63</v>
      </c>
    </row>
    <row r="7" spans="1:18" ht="14.4" thickBot="1" x14ac:dyDescent="0.3">
      <c r="B7" s="336" t="s">
        <v>64</v>
      </c>
      <c r="C7" s="343" t="s">
        <v>65</v>
      </c>
      <c r="D7" s="94">
        <v>44848</v>
      </c>
      <c r="E7" s="222">
        <v>37345.699999999997</v>
      </c>
      <c r="F7" s="222">
        <v>38889.9</v>
      </c>
      <c r="G7" s="222">
        <v>42276.3</v>
      </c>
      <c r="H7" s="222">
        <v>45515.199999999997</v>
      </c>
      <c r="I7" s="222">
        <v>48908.2</v>
      </c>
      <c r="J7" s="222">
        <v>49769.599999999999</v>
      </c>
      <c r="K7" s="222">
        <v>56179.1</v>
      </c>
      <c r="L7" s="223">
        <v>65372.5</v>
      </c>
      <c r="M7" s="223">
        <v>70279.399999999994</v>
      </c>
      <c r="N7" s="223">
        <v>73838.100000000006</v>
      </c>
      <c r="O7" s="224">
        <v>77624.2</v>
      </c>
    </row>
    <row r="8" spans="1:18" ht="14.4" thickBot="1" x14ac:dyDescent="0.3">
      <c r="B8" s="337"/>
      <c r="C8" s="343"/>
      <c r="D8" s="94">
        <v>44806</v>
      </c>
      <c r="E8" s="222">
        <v>37345.699999999997</v>
      </c>
      <c r="F8" s="222">
        <v>38889.9</v>
      </c>
      <c r="G8" s="222">
        <v>42276.3</v>
      </c>
      <c r="H8" s="222">
        <v>45514.8029498994</v>
      </c>
      <c r="I8" s="222">
        <v>48859.870420403007</v>
      </c>
      <c r="J8" s="222">
        <v>49507.222582183</v>
      </c>
      <c r="K8" s="222">
        <v>55383.121331159695</v>
      </c>
      <c r="L8" s="223">
        <f>L7</f>
        <v>65372.5</v>
      </c>
      <c r="M8" s="223">
        <f t="shared" ref="M8:O8" si="1">M7</f>
        <v>70279.399999999994</v>
      </c>
      <c r="N8" s="223">
        <f t="shared" si="1"/>
        <v>73838.100000000006</v>
      </c>
      <c r="O8" s="224">
        <f t="shared" si="1"/>
        <v>77624.2</v>
      </c>
    </row>
    <row r="9" spans="1:18" ht="14.4" thickBot="1" x14ac:dyDescent="0.3">
      <c r="B9" s="336" t="s">
        <v>66</v>
      </c>
      <c r="C9" s="338" t="s">
        <v>67</v>
      </c>
      <c r="D9" s="94">
        <f>$D$7</f>
        <v>44848</v>
      </c>
      <c r="E9" s="225"/>
      <c r="F9" s="225">
        <f t="shared" ref="F9:J9" si="2">(F7/E7-1)*100</f>
        <v>4.1348803208937079</v>
      </c>
      <c r="G9" s="225">
        <f t="shared" si="2"/>
        <v>8.7076593151435233</v>
      </c>
      <c r="H9" s="225">
        <f t="shared" si="2"/>
        <v>7.6612664779084128</v>
      </c>
      <c r="I9" s="225">
        <f t="shared" si="2"/>
        <v>7.4546525116883977</v>
      </c>
      <c r="J9" s="225">
        <f t="shared" si="2"/>
        <v>1.7612588482095015</v>
      </c>
      <c r="K9" s="225">
        <f>(K7/J7-1)*100</f>
        <v>12.878343406416759</v>
      </c>
      <c r="L9" s="223">
        <f t="shared" ref="L9:O10" si="3">(L7/K7-1)*100</f>
        <v>16.364448700673396</v>
      </c>
      <c r="M9" s="223">
        <f t="shared" si="3"/>
        <v>7.5060614172625995</v>
      </c>
      <c r="N9" s="223">
        <f t="shared" si="3"/>
        <v>5.0636459616900664</v>
      </c>
      <c r="O9" s="224">
        <f t="shared" si="3"/>
        <v>5.127569642230756</v>
      </c>
    </row>
    <row r="10" spans="1:18" ht="14.4" thickBot="1" x14ac:dyDescent="0.3">
      <c r="B10" s="337"/>
      <c r="C10" s="338"/>
      <c r="D10" s="94">
        <f>$D$8</f>
        <v>44806</v>
      </c>
      <c r="E10" s="225"/>
      <c r="F10" s="225">
        <f t="shared" ref="F10:K10" si="4">(F8/E8-1)*100</f>
        <v>4.1348803208937079</v>
      </c>
      <c r="G10" s="225">
        <f t="shared" si="4"/>
        <v>8.7076593151435233</v>
      </c>
      <c r="H10" s="225">
        <f t="shared" si="4"/>
        <v>7.6603272989816951</v>
      </c>
      <c r="I10" s="225">
        <f t="shared" si="4"/>
        <v>7.3494055861028418</v>
      </c>
      <c r="J10" s="225">
        <f t="shared" si="4"/>
        <v>1.3249158383147774</v>
      </c>
      <c r="K10" s="225">
        <f t="shared" si="4"/>
        <v>11.868770741930801</v>
      </c>
      <c r="L10" s="223">
        <f t="shared" si="3"/>
        <v>18.036864713907107</v>
      </c>
      <c r="M10" s="223">
        <f>(M8/L8-1)*100</f>
        <v>7.5060614172625995</v>
      </c>
      <c r="N10" s="223">
        <f t="shared" si="3"/>
        <v>5.0636459616900664</v>
      </c>
      <c r="O10" s="224">
        <f t="shared" si="3"/>
        <v>5.127569642230756</v>
      </c>
    </row>
    <row r="11" spans="1:18" ht="14.4" thickBot="1" x14ac:dyDescent="0.3">
      <c r="B11" s="336" t="s">
        <v>68</v>
      </c>
      <c r="C11" s="338" t="s">
        <v>69</v>
      </c>
      <c r="D11" s="94">
        <f>$D$7</f>
        <v>44848</v>
      </c>
      <c r="E11" s="222">
        <v>37345.699999999997</v>
      </c>
      <c r="F11" s="222">
        <v>38286.400000000001</v>
      </c>
      <c r="G11" s="222">
        <v>39926</v>
      </c>
      <c r="H11" s="222">
        <v>41520.400000000001</v>
      </c>
      <c r="I11" s="222">
        <v>43440.800000000003</v>
      </c>
      <c r="J11" s="222">
        <v>43431.3</v>
      </c>
      <c r="K11" s="222">
        <v>46028.9</v>
      </c>
      <c r="L11" s="223">
        <v>46254.2</v>
      </c>
      <c r="M11" s="223">
        <v>46911.3</v>
      </c>
      <c r="N11" s="223">
        <v>48339.4</v>
      </c>
      <c r="O11" s="224">
        <v>49804.4</v>
      </c>
    </row>
    <row r="12" spans="1:18" ht="14.4" thickBot="1" x14ac:dyDescent="0.3">
      <c r="B12" s="337"/>
      <c r="C12" s="338"/>
      <c r="D12" s="94">
        <f>D10</f>
        <v>44806</v>
      </c>
      <c r="E12" s="222">
        <v>37345.599999999999</v>
      </c>
      <c r="F12" s="222">
        <v>38286.5</v>
      </c>
      <c r="G12" s="222">
        <v>39926.1</v>
      </c>
      <c r="H12" s="222">
        <v>41520.393112693382</v>
      </c>
      <c r="I12" s="222">
        <v>43419.440711625102</v>
      </c>
      <c r="J12" s="222">
        <v>43361.9396561049</v>
      </c>
      <c r="K12" s="222">
        <v>45531.555441910896</v>
      </c>
      <c r="L12" s="223">
        <f>L11</f>
        <v>46254.2</v>
      </c>
      <c r="M12" s="223">
        <f t="shared" ref="M12:O12" si="5">M11</f>
        <v>46911.3</v>
      </c>
      <c r="N12" s="223">
        <f t="shared" si="5"/>
        <v>48339.4</v>
      </c>
      <c r="O12" s="224">
        <f t="shared" si="5"/>
        <v>49804.4</v>
      </c>
    </row>
    <row r="13" spans="1:18" ht="14.4" thickBot="1" x14ac:dyDescent="0.3">
      <c r="B13" s="336" t="s">
        <v>70</v>
      </c>
      <c r="C13" s="338" t="s">
        <v>71</v>
      </c>
      <c r="D13" s="94">
        <f>$D$7</f>
        <v>44848</v>
      </c>
      <c r="E13" s="225"/>
      <c r="F13" s="225">
        <f t="shared" ref="F13:J13" si="6">(F11/E11-1)*100</f>
        <v>2.5188977579748251</v>
      </c>
      <c r="G13" s="225">
        <f t="shared" si="6"/>
        <v>4.2824606126457443</v>
      </c>
      <c r="H13" s="225">
        <f t="shared" si="6"/>
        <v>3.9933877673696383</v>
      </c>
      <c r="I13" s="225">
        <f t="shared" si="6"/>
        <v>4.6251962890530907</v>
      </c>
      <c r="J13" s="225">
        <f t="shared" si="6"/>
        <v>-2.1868842194439075E-2</v>
      </c>
      <c r="K13" s="225">
        <f>(K11/J11-1)*100</f>
        <v>5.9809400133083779</v>
      </c>
      <c r="L13" s="223">
        <f t="shared" ref="L13:O13" si="7">(L11/K11-1)*100</f>
        <v>0.48947509064956041</v>
      </c>
      <c r="M13" s="223">
        <f t="shared" si="7"/>
        <v>1.4206277483990837</v>
      </c>
      <c r="N13" s="223">
        <f t="shared" si="7"/>
        <v>3.044255861594114</v>
      </c>
      <c r="O13" s="224">
        <f t="shared" si="7"/>
        <v>3.0306540834184936</v>
      </c>
    </row>
    <row r="14" spans="1:18" ht="14.4" thickBot="1" x14ac:dyDescent="0.3">
      <c r="B14" s="337"/>
      <c r="C14" s="338"/>
      <c r="D14" s="94">
        <f>$D$12</f>
        <v>44806</v>
      </c>
      <c r="E14" s="225"/>
      <c r="F14" s="225">
        <f t="shared" ref="F14:H14" si="8">(F12/E12-1)*100</f>
        <v>2.5194400411293394</v>
      </c>
      <c r="G14" s="225">
        <f t="shared" si="8"/>
        <v>4.2824494273438374</v>
      </c>
      <c r="H14" s="225">
        <f t="shared" si="8"/>
        <v>3.9931100525555596</v>
      </c>
      <c r="I14" s="226">
        <f>(I12/H12-1)*100</f>
        <v>4.5737707583292542</v>
      </c>
      <c r="J14" s="226">
        <f>(J12-I12)/I12*100</f>
        <v>-0.13243158957781601</v>
      </c>
      <c r="K14" s="226">
        <f>(K12-J12)/J12*100</f>
        <v>5.0035026177629423</v>
      </c>
      <c r="L14" s="223">
        <f t="shared" ref="L14:O14" si="9">(L12-K12)/K12*100</f>
        <v>1.5871290824031925</v>
      </c>
      <c r="M14" s="223">
        <f t="shared" si="9"/>
        <v>1.420627748399077</v>
      </c>
      <c r="N14" s="223">
        <f t="shared" si="9"/>
        <v>3.0442558615941118</v>
      </c>
      <c r="O14" s="224">
        <f t="shared" si="9"/>
        <v>3.030654083418495</v>
      </c>
    </row>
    <row r="15" spans="1:18" ht="14.4" thickBot="1" x14ac:dyDescent="0.3">
      <c r="B15" s="336" t="s">
        <v>72</v>
      </c>
      <c r="C15" s="338" t="s">
        <v>73</v>
      </c>
      <c r="D15" s="94">
        <v>44848</v>
      </c>
      <c r="E15" s="227">
        <v>37502.814922850594</v>
      </c>
      <c r="F15" s="227">
        <v>38406.090580823518</v>
      </c>
      <c r="G15" s="227">
        <v>39425.244386422535</v>
      </c>
      <c r="H15" s="227">
        <v>40612.666889332453</v>
      </c>
      <c r="I15" s="227">
        <v>41926.602402204779</v>
      </c>
      <c r="J15" s="227">
        <v>43221.396687439286</v>
      </c>
      <c r="K15" s="227">
        <v>44665.503695037543</v>
      </c>
      <c r="L15" s="227">
        <v>46110.39327153263</v>
      </c>
      <c r="M15" s="227">
        <v>47599.941804968636</v>
      </c>
      <c r="N15" s="227">
        <v>49114.656141199965</v>
      </c>
      <c r="O15" s="228">
        <v>50633.879314293234</v>
      </c>
    </row>
    <row r="16" spans="1:18" ht="14.4" thickBot="1" x14ac:dyDescent="0.3">
      <c r="B16" s="337"/>
      <c r="C16" s="338"/>
      <c r="D16" s="94">
        <v>44848</v>
      </c>
      <c r="E16" s="223">
        <v>37107.011357826574</v>
      </c>
      <c r="F16" s="223">
        <v>37821.10851588568</v>
      </c>
      <c r="G16" s="223">
        <v>38731.551751498737</v>
      </c>
      <c r="H16" s="223">
        <v>39973.067534998401</v>
      </c>
      <c r="I16" s="223">
        <v>41630.790678730969</v>
      </c>
      <c r="J16" s="223">
        <v>43222.886082952253</v>
      </c>
      <c r="K16" s="223">
        <v>45096.194913781255</v>
      </c>
      <c r="L16" s="223">
        <v>46714.052726269772</v>
      </c>
      <c r="M16" s="223">
        <v>48056.015347078232</v>
      </c>
      <c r="N16" s="223">
        <v>49327.49399226981</v>
      </c>
      <c r="O16" s="224">
        <v>50548.95276363047</v>
      </c>
      <c r="P16" s="53"/>
      <c r="Q16" s="53"/>
      <c r="R16" s="53"/>
    </row>
    <row r="17" spans="2:16" ht="14.4" thickBot="1" x14ac:dyDescent="0.3">
      <c r="B17" s="336" t="s">
        <v>74</v>
      </c>
      <c r="C17" s="338" t="s">
        <v>75</v>
      </c>
      <c r="D17" s="94">
        <f>D15</f>
        <v>44848</v>
      </c>
      <c r="E17" s="227"/>
      <c r="F17" s="227">
        <f t="shared" ref="F17:I18" si="10">(F15/E15-1)*100</f>
        <v>2.4085542907408719</v>
      </c>
      <c r="G17" s="227">
        <f>(G15/F15-1)*100</f>
        <v>2.653625480193722</v>
      </c>
      <c r="H17" s="227">
        <f t="shared" si="10"/>
        <v>3.0118329547218936</v>
      </c>
      <c r="I17" s="227">
        <f t="shared" si="10"/>
        <v>3.2352849825221686</v>
      </c>
      <c r="J17" s="227">
        <f>(J15/I15-1)*100</f>
        <v>3.0882404274342523</v>
      </c>
      <c r="K17" s="227">
        <f>(K15/J15-1)*100</f>
        <v>3.3411854273046604</v>
      </c>
      <c r="L17" s="227">
        <f t="shared" ref="L17:O17" si="11">(L15/K15-1)*100</f>
        <v>3.2349116364171149</v>
      </c>
      <c r="M17" s="227">
        <f>(M15/L15-1)*100</f>
        <v>3.2303965066279527</v>
      </c>
      <c r="N17" s="227">
        <f t="shared" si="11"/>
        <v>3.1821768657566363</v>
      </c>
      <c r="O17" s="228">
        <f t="shared" si="11"/>
        <v>3.0932175697731656</v>
      </c>
    </row>
    <row r="18" spans="2:16" ht="14.4" thickBot="1" x14ac:dyDescent="0.3">
      <c r="B18" s="337"/>
      <c r="C18" s="338"/>
      <c r="D18" s="94">
        <f>$D$16</f>
        <v>44848</v>
      </c>
      <c r="E18" s="223"/>
      <c r="F18" s="223">
        <f t="shared" si="10"/>
        <v>1.9244264949634271</v>
      </c>
      <c r="G18" s="223">
        <f>(G16/F16-1)*100</f>
        <v>2.4072357245442655</v>
      </c>
      <c r="H18" s="223">
        <f t="shared" si="10"/>
        <v>3.2054377564452396</v>
      </c>
      <c r="I18" s="223">
        <f t="shared" si="10"/>
        <v>4.147100150072669</v>
      </c>
      <c r="J18" s="223">
        <f>(J16/I16-1)*100</f>
        <v>3.8243218018789049</v>
      </c>
      <c r="K18" s="223">
        <f>(K16/J16-1)*100</f>
        <v>4.3340669737643056</v>
      </c>
      <c r="L18" s="223">
        <f t="shared" ref="L18:O18" si="12">(L16/K16-1)*100</f>
        <v>3.5875705601806862</v>
      </c>
      <c r="M18" s="223">
        <f>(M16/L16-1)*100</f>
        <v>2.872717185708451</v>
      </c>
      <c r="N18" s="223">
        <f t="shared" si="12"/>
        <v>2.6458262009625422</v>
      </c>
      <c r="O18" s="224">
        <f t="shared" si="12"/>
        <v>2.4762230401408125</v>
      </c>
    </row>
    <row r="19" spans="2:16" ht="14.4" thickBot="1" x14ac:dyDescent="0.3">
      <c r="B19" s="336" t="s">
        <v>76</v>
      </c>
      <c r="C19" s="338" t="s">
        <v>77</v>
      </c>
      <c r="D19" s="94">
        <f>D15</f>
        <v>44848</v>
      </c>
      <c r="E19" s="227">
        <f t="shared" ref="E19:K19" si="13">(E12/E15-1)*100</f>
        <v>-0.4192083265589841</v>
      </c>
      <c r="F19" s="227">
        <f t="shared" si="13"/>
        <v>-0.31138441589582122</v>
      </c>
      <c r="G19" s="227">
        <f t="shared" si="13"/>
        <v>1.2703931741510077</v>
      </c>
      <c r="H19" s="227">
        <f t="shared" si="13"/>
        <v>2.2350815469332153</v>
      </c>
      <c r="I19" s="227">
        <f t="shared" si="13"/>
        <v>3.560599294689859</v>
      </c>
      <c r="J19" s="227">
        <f t="shared" si="13"/>
        <v>0.3251698913895984</v>
      </c>
      <c r="K19" s="227">
        <f t="shared" si="13"/>
        <v>1.9389723057563479</v>
      </c>
      <c r="L19" s="227">
        <f>(L12/L15-1)*100</f>
        <v>0.3118748686885553</v>
      </c>
      <c r="M19" s="227">
        <f>(M12/M15-1)*100</f>
        <v>-1.4467282497743539</v>
      </c>
      <c r="N19" s="227">
        <f t="shared" ref="N19:O19" si="14">(N12/N15-1)*100</f>
        <v>-1.5784619136316014</v>
      </c>
      <c r="O19" s="228">
        <f t="shared" si="14"/>
        <v>-1.6381903293336664</v>
      </c>
      <c r="P19" s="60"/>
    </row>
    <row r="20" spans="2:16" ht="14.4" thickBot="1" x14ac:dyDescent="0.3">
      <c r="B20" s="337"/>
      <c r="C20" s="338"/>
      <c r="D20" s="94">
        <f>$D$16</f>
        <v>44848</v>
      </c>
      <c r="E20" s="223">
        <f t="shared" ref="E20:I20" si="15">(E$12/E16-1)*100</f>
        <v>0.64297455775321755</v>
      </c>
      <c r="F20" s="223">
        <f t="shared" si="15"/>
        <v>1.2305072547486251</v>
      </c>
      <c r="G20" s="223">
        <f t="shared" si="15"/>
        <v>3.0841734825536316</v>
      </c>
      <c r="H20" s="223">
        <f t="shared" si="15"/>
        <v>3.8709202798614895</v>
      </c>
      <c r="I20" s="223">
        <f t="shared" si="15"/>
        <v>4.296459432388211</v>
      </c>
      <c r="J20" s="223">
        <f>(J$12/J16-1)*100</f>
        <v>0.32171283723576583</v>
      </c>
      <c r="K20" s="223">
        <f>(K$12/K16-1)*100</f>
        <v>0.96540412990939739</v>
      </c>
      <c r="L20" s="223">
        <f>(L$12/L16-1)*100</f>
        <v>-0.98439912495791315</v>
      </c>
      <c r="M20" s="223">
        <f>(M$12/M16-1)*100</f>
        <v>-2.3820438270020339</v>
      </c>
      <c r="N20" s="223">
        <f t="shared" ref="N20" si="16">(N$12/N16-1)*100</f>
        <v>-2.0031303281384139</v>
      </c>
      <c r="O20" s="224">
        <f>(O$12/O16-1)*100</f>
        <v>-1.4729341023384523</v>
      </c>
    </row>
    <row r="21" spans="2:16" ht="17.399999999999999" customHeight="1" thickBot="1" x14ac:dyDescent="0.3">
      <c r="B21" s="339" t="s">
        <v>78</v>
      </c>
      <c r="C21" s="338" t="s">
        <v>79</v>
      </c>
      <c r="D21" s="94">
        <f>$D$15</f>
        <v>44848</v>
      </c>
      <c r="E21" s="227">
        <f t="shared" ref="E21:O21" si="17">E19*E37</f>
        <v>0</v>
      </c>
      <c r="F21" s="227">
        <f t="shared" si="17"/>
        <v>0</v>
      </c>
      <c r="G21" s="227">
        <f t="shared" si="17"/>
        <v>0</v>
      </c>
      <c r="H21" s="227">
        <f t="shared" si="17"/>
        <v>0</v>
      </c>
      <c r="I21" s="227">
        <f t="shared" si="17"/>
        <v>1.4206791185812537</v>
      </c>
      <c r="J21" s="227">
        <f t="shared" si="17"/>
        <v>0.12974278666444977</v>
      </c>
      <c r="K21" s="227">
        <f t="shared" si="17"/>
        <v>0.77364994999678283</v>
      </c>
      <c r="L21" s="227">
        <f>L19*L37</f>
        <v>0.12443807260673356</v>
      </c>
      <c r="M21" s="227">
        <f t="shared" si="17"/>
        <v>-0.57724457165996723</v>
      </c>
      <c r="N21" s="227">
        <f t="shared" si="17"/>
        <v>-0.62980630353900902</v>
      </c>
      <c r="O21" s="228">
        <f t="shared" si="17"/>
        <v>-0.65363794140413289</v>
      </c>
    </row>
    <row r="22" spans="2:16" ht="14.4" thickBot="1" x14ac:dyDescent="0.3">
      <c r="B22" s="340"/>
      <c r="C22" s="338"/>
      <c r="D22" s="94">
        <f>$D$16</f>
        <v>44848</v>
      </c>
      <c r="E22" s="223">
        <f t="shared" ref="E22:O22" si="18">E20*E37</f>
        <v>0</v>
      </c>
      <c r="F22" s="223">
        <f t="shared" si="18"/>
        <v>0</v>
      </c>
      <c r="G22" s="223">
        <f>G20*G37</f>
        <v>0</v>
      </c>
      <c r="H22" s="223">
        <f t="shared" si="18"/>
        <v>0</v>
      </c>
      <c r="I22" s="223">
        <f t="shared" si="18"/>
        <v>1.7142873135228962</v>
      </c>
      <c r="J22" s="223">
        <f t="shared" si="18"/>
        <v>0.12836342205707058</v>
      </c>
      <c r="K22" s="223">
        <f t="shared" si="18"/>
        <v>0.38519624783384959</v>
      </c>
      <c r="L22" s="223">
        <f>L20*L37</f>
        <v>-0.39277525085820736</v>
      </c>
      <c r="M22" s="223">
        <f t="shared" si="18"/>
        <v>-0.95043548697381153</v>
      </c>
      <c r="N22" s="223">
        <f t="shared" si="18"/>
        <v>-0.79924900092722717</v>
      </c>
      <c r="O22" s="224">
        <f t="shared" si="18"/>
        <v>-0.58770070683304254</v>
      </c>
    </row>
    <row r="23" spans="2:16" ht="17.399999999999999" customHeight="1" thickBot="1" x14ac:dyDescent="0.3">
      <c r="B23" s="339" t="s">
        <v>80</v>
      </c>
      <c r="C23" s="338" t="s">
        <v>81</v>
      </c>
      <c r="D23" s="94">
        <f>$D$15</f>
        <v>44848</v>
      </c>
      <c r="E23" s="229"/>
      <c r="F23" s="229"/>
      <c r="G23" s="229"/>
      <c r="H23" s="229"/>
      <c r="I23" s="227">
        <f t="shared" ref="I23:O23" si="19">I19*I38</f>
        <v>0.37208262629509026</v>
      </c>
      <c r="J23" s="227">
        <f t="shared" si="19"/>
        <v>3.2842159030349441E-2</v>
      </c>
      <c r="K23" s="227">
        <f t="shared" si="19"/>
        <v>0.17062956290655862</v>
      </c>
      <c r="L23" s="227">
        <f>L19*L38</f>
        <v>2.8692487919347087E-2</v>
      </c>
      <c r="M23" s="227">
        <f>M19*M38</f>
        <v>-0.13309899897924055</v>
      </c>
      <c r="N23" s="227">
        <f t="shared" si="19"/>
        <v>0</v>
      </c>
      <c r="O23" s="228">
        <f t="shared" si="19"/>
        <v>0</v>
      </c>
    </row>
    <row r="24" spans="2:16" ht="14.4" thickBot="1" x14ac:dyDescent="0.3">
      <c r="B24" s="339"/>
      <c r="C24" s="338"/>
      <c r="D24" s="94">
        <f>$D$16</f>
        <v>44848</v>
      </c>
      <c r="E24" s="229"/>
      <c r="F24" s="229"/>
      <c r="G24" s="229"/>
      <c r="H24" s="229"/>
      <c r="I24" s="223">
        <f t="shared" ref="I24:O24" si="20">I20*I38</f>
        <v>0.44898001068456805</v>
      </c>
      <c r="J24" s="223">
        <f t="shared" si="20"/>
        <v>3.2492996560812351E-2</v>
      </c>
      <c r="K24" s="223">
        <f t="shared" si="20"/>
        <v>8.4955563432026968E-2</v>
      </c>
      <c r="L24" s="223">
        <f t="shared" si="20"/>
        <v>-9.0564719496128002E-2</v>
      </c>
      <c r="M24" s="223">
        <f t="shared" si="20"/>
        <v>-0.21914803208418712</v>
      </c>
      <c r="N24" s="223">
        <f t="shared" si="20"/>
        <v>0</v>
      </c>
      <c r="O24" s="224">
        <f t="shared" si="20"/>
        <v>0</v>
      </c>
    </row>
    <row r="25" spans="2:16" s="10" customFormat="1" ht="15.75" customHeight="1" thickBot="1" x14ac:dyDescent="0.3">
      <c r="B25" s="339" t="s">
        <v>82</v>
      </c>
      <c r="C25" s="338" t="s">
        <v>83</v>
      </c>
      <c r="D25" s="94">
        <f>$D$15</f>
        <v>44848</v>
      </c>
      <c r="E25" s="229"/>
      <c r="F25" s="229"/>
      <c r="G25" s="229"/>
      <c r="H25" s="229"/>
      <c r="I25" s="227">
        <f t="shared" ref="I25:O25" si="21">I19*I39</f>
        <v>0.16022696826104366</v>
      </c>
      <c r="J25" s="227">
        <f t="shared" si="21"/>
        <v>1.4632645112531928E-2</v>
      </c>
      <c r="K25" s="227">
        <f t="shared" si="21"/>
        <v>8.1436836841766613E-2</v>
      </c>
      <c r="L25" s="227">
        <f t="shared" si="21"/>
        <v>1.4346243959673544E-2</v>
      </c>
      <c r="M25" s="227">
        <f>M19*M39</f>
        <v>-6.6549499489620273E-2</v>
      </c>
      <c r="N25" s="227">
        <f t="shared" si="21"/>
        <v>0</v>
      </c>
      <c r="O25" s="228">
        <f t="shared" si="21"/>
        <v>0</v>
      </c>
      <c r="P25" s="1"/>
    </row>
    <row r="26" spans="2:16" s="10" customFormat="1" ht="14.4" thickBot="1" x14ac:dyDescent="0.3">
      <c r="B26" s="339"/>
      <c r="C26" s="338"/>
      <c r="D26" s="94">
        <f>$D$16</f>
        <v>44848</v>
      </c>
      <c r="E26" s="229"/>
      <c r="F26" s="229"/>
      <c r="G26" s="229"/>
      <c r="H26" s="229"/>
      <c r="I26" s="223">
        <f>I20*I39</f>
        <v>0.1933406744574695</v>
      </c>
      <c r="J26" s="223">
        <f t="shared" ref="J26:O26" si="22">J20*J39</f>
        <v>1.4477077675609462E-2</v>
      </c>
      <c r="K26" s="223">
        <f t="shared" si="22"/>
        <v>4.0546973456194693E-2</v>
      </c>
      <c r="L26" s="223">
        <f t="shared" si="22"/>
        <v>-4.5282359748064001E-2</v>
      </c>
      <c r="M26" s="223">
        <f t="shared" si="22"/>
        <v>-0.10957401604209356</v>
      </c>
      <c r="N26" s="223">
        <f t="shared" si="22"/>
        <v>0</v>
      </c>
      <c r="O26" s="224">
        <f t="shared" si="22"/>
        <v>0</v>
      </c>
      <c r="P26" s="1"/>
    </row>
    <row r="27" spans="2:16" ht="14.4" thickBot="1" x14ac:dyDescent="0.3">
      <c r="B27" s="336" t="s">
        <v>84</v>
      </c>
      <c r="C27" s="338" t="s">
        <v>85</v>
      </c>
      <c r="D27" s="94">
        <f>$D$7</f>
        <v>44848</v>
      </c>
      <c r="E27" s="229">
        <f t="shared" ref="E27:J28" si="23">E7/E11*100</f>
        <v>100</v>
      </c>
      <c r="F27" s="229">
        <f t="shared" si="23"/>
        <v>101.57627773830917</v>
      </c>
      <c r="G27" s="229">
        <f t="shared" si="23"/>
        <v>105.88664028452639</v>
      </c>
      <c r="H27" s="229">
        <f t="shared" si="23"/>
        <v>109.62129459253764</v>
      </c>
      <c r="I27" s="229">
        <f t="shared" si="23"/>
        <v>112.58586398040551</v>
      </c>
      <c r="J27" s="229">
        <f t="shared" si="23"/>
        <v>114.59385282043132</v>
      </c>
      <c r="K27" s="229">
        <f>K7/K11*100</f>
        <v>122.0517978921938</v>
      </c>
      <c r="L27" s="229">
        <f t="shared" ref="L27:O27" si="24">L7/L11*100</f>
        <v>141.3331113715079</v>
      </c>
      <c r="M27" s="229">
        <f>M7/M11*100</f>
        <v>149.81337119201555</v>
      </c>
      <c r="N27" s="229">
        <f t="shared" si="24"/>
        <v>152.74931008659601</v>
      </c>
      <c r="O27" s="230">
        <f t="shared" si="24"/>
        <v>155.85811695352217</v>
      </c>
    </row>
    <row r="28" spans="2:16" ht="14.4" thickBot="1" x14ac:dyDescent="0.3">
      <c r="B28" s="337"/>
      <c r="C28" s="338"/>
      <c r="D28" s="94">
        <f>$D$8</f>
        <v>44806</v>
      </c>
      <c r="E28" s="229">
        <f>E8/E12*100</f>
        <v>100.00026776916155</v>
      </c>
      <c r="F28" s="229">
        <f t="shared" si="23"/>
        <v>101.57601243258068</v>
      </c>
      <c r="G28" s="229">
        <f t="shared" si="23"/>
        <v>105.88637507795653</v>
      </c>
      <c r="H28" s="229">
        <f t="shared" si="23"/>
        <v>109.62035649894864</v>
      </c>
      <c r="I28" s="229">
        <f t="shared" si="23"/>
        <v>112.52993962983334</v>
      </c>
      <c r="J28" s="229">
        <f t="shared" si="23"/>
        <v>114.17206650536194</v>
      </c>
      <c r="K28" s="229">
        <f>K8/K12*100</f>
        <v>121.63678748426993</v>
      </c>
      <c r="L28" s="229">
        <f t="shared" ref="L28:O28" si="25">L8/L12*100</f>
        <v>141.3331113715079</v>
      </c>
      <c r="M28" s="229">
        <f t="shared" si="25"/>
        <v>149.81337119201555</v>
      </c>
      <c r="N28" s="229">
        <f t="shared" si="25"/>
        <v>152.74931008659601</v>
      </c>
      <c r="O28" s="230">
        <f t="shared" si="25"/>
        <v>155.85811695352217</v>
      </c>
    </row>
    <row r="29" spans="2:16" ht="14.4" thickBot="1" x14ac:dyDescent="0.3">
      <c r="B29" s="336" t="s">
        <v>86</v>
      </c>
      <c r="C29" s="338" t="s">
        <v>87</v>
      </c>
      <c r="D29" s="94">
        <f>$D$7</f>
        <v>44848</v>
      </c>
      <c r="E29" s="229"/>
      <c r="F29" s="229">
        <f t="shared" ref="F29:J30" si="26">(F27/E27-1)*100</f>
        <v>1.5762777383091731</v>
      </c>
      <c r="G29" s="229">
        <f t="shared" si="26"/>
        <v>4.2434736162728859</v>
      </c>
      <c r="H29" s="229">
        <f t="shared" si="26"/>
        <v>3.5270306980898836</v>
      </c>
      <c r="I29" s="229">
        <f t="shared" si="26"/>
        <v>2.704373633687851</v>
      </c>
      <c r="J29" s="229">
        <f t="shared" si="26"/>
        <v>1.783517725080741</v>
      </c>
      <c r="K29" s="229">
        <f>(K27/J27-1)*100</f>
        <v>6.5081545721733303</v>
      </c>
      <c r="L29" s="229">
        <f t="shared" ref="L29:O29" si="27">(L27/K27-1)*100</f>
        <v>15.79764805787207</v>
      </c>
      <c r="M29" s="229">
        <f>(M27/L27-1)*100</f>
        <v>6.0001932584760498</v>
      </c>
      <c r="N29" s="229">
        <f t="shared" si="27"/>
        <v>1.9597308779718103</v>
      </c>
      <c r="O29" s="230">
        <f t="shared" si="27"/>
        <v>2.035234637173633</v>
      </c>
    </row>
    <row r="30" spans="2:16" ht="14.4" thickBot="1" x14ac:dyDescent="0.3">
      <c r="B30" s="337"/>
      <c r="C30" s="338"/>
      <c r="D30" s="94">
        <f>$D$8</f>
        <v>44806</v>
      </c>
      <c r="E30" s="229"/>
      <c r="F30" s="229">
        <f t="shared" ref="F30:H30" si="28">(F28/E28-1)*100</f>
        <v>1.5757404440721601</v>
      </c>
      <c r="G30" s="229">
        <f t="shared" si="28"/>
        <v>4.243484797394248</v>
      </c>
      <c r="H30" s="229">
        <f t="shared" si="28"/>
        <v>3.5264040517422934</v>
      </c>
      <c r="I30" s="229">
        <f t="shared" si="26"/>
        <v>2.6542361508490542</v>
      </c>
      <c r="J30" s="229">
        <f>(J28/I28-1)*100</f>
        <v>1.4592799755606123</v>
      </c>
      <c r="K30" s="229">
        <f>(K28/J28-1)*100</f>
        <v>6.5381324936931273</v>
      </c>
      <c r="L30" s="229">
        <f t="shared" ref="L30:O30" si="29">(L28/K28-1)*100</f>
        <v>16.192736009067232</v>
      </c>
      <c r="M30" s="229">
        <f t="shared" si="29"/>
        <v>6.0001932584760498</v>
      </c>
      <c r="N30" s="229">
        <f t="shared" si="29"/>
        <v>1.9597308779718103</v>
      </c>
      <c r="O30" s="230">
        <f t="shared" si="29"/>
        <v>2.035234637173633</v>
      </c>
    </row>
    <row r="31" spans="2:16" ht="28.8" thickBot="1" x14ac:dyDescent="0.3">
      <c r="B31" s="103" t="s">
        <v>88</v>
      </c>
      <c r="C31" s="95" t="s">
        <v>89</v>
      </c>
      <c r="D31" s="94">
        <f>D21</f>
        <v>44848</v>
      </c>
      <c r="E31" s="222">
        <v>12214.799800000001</v>
      </c>
      <c r="F31" s="222">
        <v>12552.647199999999</v>
      </c>
      <c r="G31" s="222">
        <v>13076.8699</v>
      </c>
      <c r="H31" s="222">
        <v>13529.8789</v>
      </c>
      <c r="I31" s="222">
        <v>14016.5332</v>
      </c>
      <c r="J31" s="222">
        <v>13450.46</v>
      </c>
      <c r="K31" s="222">
        <v>14507.0672</v>
      </c>
      <c r="L31" s="231"/>
      <c r="M31" s="231"/>
      <c r="N31" s="231"/>
      <c r="O31" s="232"/>
    </row>
    <row r="32" spans="2:16" ht="29.25" customHeight="1" thickBot="1" x14ac:dyDescent="0.3">
      <c r="B32" s="103" t="s">
        <v>90</v>
      </c>
      <c r="C32" s="95" t="s">
        <v>91</v>
      </c>
      <c r="D32" s="94">
        <f>$D$31</f>
        <v>44848</v>
      </c>
      <c r="E32" s="225"/>
      <c r="F32" s="225">
        <f t="shared" ref="F32:H32" si="30">(F31/E31-1)*100</f>
        <v>2.7658856922075703</v>
      </c>
      <c r="G32" s="225">
        <f t="shared" si="30"/>
        <v>4.1761924130234496</v>
      </c>
      <c r="H32" s="225">
        <f t="shared" si="30"/>
        <v>3.464200557657926</v>
      </c>
      <c r="I32" s="225">
        <f>(I31/H31-1)*100</f>
        <v>3.5968858523929503</v>
      </c>
      <c r="J32" s="225">
        <f>(J31/I31-1)*100</f>
        <v>-4.0386106316218084</v>
      </c>
      <c r="K32" s="225">
        <f>(K31/J31-1)*100</f>
        <v>7.8555469478367224</v>
      </c>
      <c r="L32" s="231"/>
      <c r="M32" s="231"/>
      <c r="N32" s="231"/>
      <c r="O32" s="232"/>
    </row>
    <row r="33" spans="2:15" s="12" customFormat="1" ht="14.4" thickBot="1" x14ac:dyDescent="0.3">
      <c r="B33" s="339" t="s">
        <v>92</v>
      </c>
      <c r="C33" s="338" t="s">
        <v>93</v>
      </c>
      <c r="D33" s="94">
        <f>D31</f>
        <v>44848</v>
      </c>
      <c r="E33" s="222">
        <v>-111.8</v>
      </c>
      <c r="F33" s="222">
        <v>97.8</v>
      </c>
      <c r="G33" s="222">
        <v>176.4</v>
      </c>
      <c r="H33" s="222">
        <v>244.6</v>
      </c>
      <c r="I33" s="222">
        <v>232</v>
      </c>
      <c r="J33" s="222">
        <v>-3500.9</v>
      </c>
      <c r="K33" s="222">
        <v>-554.79999999999995</v>
      </c>
      <c r="L33" s="231"/>
      <c r="M33" s="231"/>
      <c r="N33" s="231"/>
      <c r="O33" s="232"/>
    </row>
    <row r="34" spans="2:15" s="12" customFormat="1" ht="14.4" thickBot="1" x14ac:dyDescent="0.3">
      <c r="B34" s="340"/>
      <c r="C34" s="338"/>
      <c r="D34" s="94">
        <f>D33</f>
        <v>44848</v>
      </c>
      <c r="E34" s="222">
        <f>E33</f>
        <v>-111.8</v>
      </c>
      <c r="F34" s="222">
        <f t="shared" ref="F34:K34" si="31">F33</f>
        <v>97.8</v>
      </c>
      <c r="G34" s="222">
        <f t="shared" si="31"/>
        <v>176.4</v>
      </c>
      <c r="H34" s="222">
        <f t="shared" si="31"/>
        <v>244.6</v>
      </c>
      <c r="I34" s="222">
        <f t="shared" si="31"/>
        <v>232</v>
      </c>
      <c r="J34" s="222">
        <f t="shared" si="31"/>
        <v>-3500.9</v>
      </c>
      <c r="K34" s="222">
        <f t="shared" si="31"/>
        <v>-554.79999999999995</v>
      </c>
      <c r="L34" s="231"/>
      <c r="M34" s="231"/>
      <c r="N34" s="231"/>
      <c r="O34" s="232"/>
    </row>
    <row r="35" spans="2:15" ht="14.4" thickBot="1" x14ac:dyDescent="0.3">
      <c r="B35" s="336" t="s">
        <v>94</v>
      </c>
      <c r="C35" s="338" t="s">
        <v>95</v>
      </c>
      <c r="D35" s="94">
        <f>+D33</f>
        <v>44848</v>
      </c>
      <c r="E35" s="229">
        <f t="shared" ref="E35:J36" si="32">E33/E7*100</f>
        <v>-0.29936512101794854</v>
      </c>
      <c r="F35" s="229">
        <f t="shared" si="32"/>
        <v>0.25147917582714274</v>
      </c>
      <c r="G35" s="229">
        <f t="shared" si="32"/>
        <v>0.41725505779834093</v>
      </c>
      <c r="H35" s="229">
        <f t="shared" si="32"/>
        <v>0.53740288958413895</v>
      </c>
      <c r="I35" s="229">
        <f t="shared" si="32"/>
        <v>0.474358083102629</v>
      </c>
      <c r="J35" s="229">
        <f t="shared" si="32"/>
        <v>-7.0342136565292872</v>
      </c>
      <c r="K35" s="229">
        <f>K33/K7*100</f>
        <v>-0.98755587042156245</v>
      </c>
      <c r="L35" s="231"/>
      <c r="M35" s="231"/>
      <c r="N35" s="231"/>
      <c r="O35" s="232"/>
    </row>
    <row r="36" spans="2:15" ht="14.4" thickBot="1" x14ac:dyDescent="0.3">
      <c r="B36" s="337"/>
      <c r="C36" s="338"/>
      <c r="D36" s="94">
        <f>D10</f>
        <v>44806</v>
      </c>
      <c r="E36" s="229">
        <f t="shared" si="32"/>
        <v>-0.29936512101794854</v>
      </c>
      <c r="F36" s="229">
        <f t="shared" si="32"/>
        <v>0.25147917582714274</v>
      </c>
      <c r="G36" s="229">
        <f t="shared" si="32"/>
        <v>0.41725505779834093</v>
      </c>
      <c r="H36" s="229">
        <f t="shared" si="32"/>
        <v>0.53740757763851998</v>
      </c>
      <c r="I36" s="229">
        <f t="shared" si="32"/>
        <v>0.47482729283522818</v>
      </c>
      <c r="J36" s="229">
        <f t="shared" si="32"/>
        <v>-7.0714934456046983</v>
      </c>
      <c r="K36" s="229">
        <f>K34/K8*100</f>
        <v>-1.0017492453749766</v>
      </c>
      <c r="L36" s="231"/>
      <c r="M36" s="231"/>
      <c r="N36" s="231"/>
      <c r="O36" s="232"/>
    </row>
    <row r="37" spans="2:15" ht="36.75" customHeight="1" thickBot="1" x14ac:dyDescent="0.3">
      <c r="B37" s="103" t="s">
        <v>96</v>
      </c>
      <c r="C37" s="96" t="s">
        <v>97</v>
      </c>
      <c r="D37" s="94">
        <v>44489</v>
      </c>
      <c r="E37" s="233"/>
      <c r="F37" s="233"/>
      <c r="G37" s="233"/>
      <c r="H37" s="233"/>
      <c r="I37" s="234">
        <v>0.39900000000000002</v>
      </c>
      <c r="J37" s="234">
        <v>0.39900000000000002</v>
      </c>
      <c r="K37" s="234">
        <v>0.39900000000000002</v>
      </c>
      <c r="L37" s="234">
        <v>0.39900000000000002</v>
      </c>
      <c r="M37" s="234">
        <v>0.39900000000000002</v>
      </c>
      <c r="N37" s="234">
        <v>0.39900000000000002</v>
      </c>
      <c r="O37" s="235">
        <v>0.39900000000000002</v>
      </c>
    </row>
    <row r="38" spans="2:15" ht="36.75" customHeight="1" thickBot="1" x14ac:dyDescent="0.3">
      <c r="B38" s="103" t="s">
        <v>98</v>
      </c>
      <c r="C38" s="96" t="s">
        <v>99</v>
      </c>
      <c r="D38" s="94">
        <f>D26</f>
        <v>44848</v>
      </c>
      <c r="E38" s="233"/>
      <c r="F38" s="233"/>
      <c r="G38" s="233"/>
      <c r="H38" s="233"/>
      <c r="I38" s="223">
        <v>0.1045</v>
      </c>
      <c r="J38" s="223">
        <v>0.10100000000000001</v>
      </c>
      <c r="K38" s="223">
        <v>8.7999999999999995E-2</v>
      </c>
      <c r="L38" s="223">
        <v>9.1999999999999998E-2</v>
      </c>
      <c r="M38" s="223">
        <v>9.1999999999999998E-2</v>
      </c>
      <c r="N38" s="231"/>
      <c r="O38" s="232"/>
    </row>
    <row r="39" spans="2:15" ht="36.75" customHeight="1" thickBot="1" x14ac:dyDescent="0.3">
      <c r="B39" s="106" t="s">
        <v>100</v>
      </c>
      <c r="C39" s="113" t="s">
        <v>101</v>
      </c>
      <c r="D39" s="114">
        <f>D26</f>
        <v>44848</v>
      </c>
      <c r="E39" s="236"/>
      <c r="F39" s="236"/>
      <c r="G39" s="236"/>
      <c r="H39" s="236"/>
      <c r="I39" s="237">
        <v>4.4999999999999998E-2</v>
      </c>
      <c r="J39" s="237">
        <v>4.4999999999999998E-2</v>
      </c>
      <c r="K39" s="237">
        <v>4.2000000000000003E-2</v>
      </c>
      <c r="L39" s="237">
        <v>4.5999999999999999E-2</v>
      </c>
      <c r="M39" s="237">
        <v>4.5999999999999999E-2</v>
      </c>
      <c r="N39" s="238"/>
      <c r="O39" s="239"/>
    </row>
    <row r="40" spans="2:15" ht="14.4" thickTop="1" x14ac:dyDescent="0.25">
      <c r="B40" s="14"/>
      <c r="C40" s="14"/>
      <c r="D40" s="14"/>
    </row>
    <row r="41" spans="2:15" ht="15" thickBot="1" x14ac:dyDescent="0.35">
      <c r="C41" s="6" t="s">
        <v>47</v>
      </c>
      <c r="E41" s="331"/>
      <c r="F41" s="331"/>
      <c r="G41" s="331"/>
      <c r="H41" s="331"/>
      <c r="I41" s="331"/>
      <c r="L41" s="54"/>
    </row>
    <row r="42" spans="2:15" ht="15.6" thickTop="1" thickBot="1" x14ac:dyDescent="0.35">
      <c r="C42" s="6" t="s">
        <v>102</v>
      </c>
      <c r="D42" s="205"/>
      <c r="E42" s="331"/>
      <c r="F42" s="331"/>
      <c r="G42" s="331"/>
      <c r="H42" s="331"/>
      <c r="I42" s="331"/>
      <c r="J42" s="11"/>
      <c r="K42" s="11"/>
    </row>
    <row r="43" spans="2:15" ht="15" thickBot="1" x14ac:dyDescent="0.35">
      <c r="B43" s="6" t="s">
        <v>312</v>
      </c>
      <c r="C43" s="6" t="s">
        <v>103</v>
      </c>
      <c r="D43" s="204"/>
      <c r="E43" s="331"/>
      <c r="F43" s="331"/>
      <c r="G43" s="331"/>
      <c r="H43" s="331"/>
      <c r="I43" s="331"/>
      <c r="J43" s="11"/>
      <c r="K43" s="11"/>
    </row>
    <row r="44" spans="2:15" ht="15" customHeight="1" thickBot="1" x14ac:dyDescent="0.35">
      <c r="B44" s="6"/>
      <c r="C44" s="6" t="s">
        <v>104</v>
      </c>
      <c r="D44" s="137"/>
      <c r="E44" s="344"/>
      <c r="F44" s="344"/>
      <c r="G44" s="344"/>
      <c r="H44" s="344"/>
      <c r="I44" s="344"/>
      <c r="J44" s="344"/>
      <c r="K44" s="344"/>
    </row>
    <row r="45" spans="2:15" ht="15.6" thickTop="1" thickBot="1" x14ac:dyDescent="0.35">
      <c r="C45" s="6" t="s">
        <v>106</v>
      </c>
      <c r="E45" s="331"/>
      <c r="F45" s="331"/>
      <c r="G45" s="331"/>
      <c r="H45" s="331"/>
      <c r="I45" s="331"/>
    </row>
    <row r="46" spans="2:15" ht="15" thickTop="1" thickBot="1" x14ac:dyDescent="0.3">
      <c r="C46" s="15" t="s">
        <v>107</v>
      </c>
      <c r="D46" s="120"/>
      <c r="E46" s="332"/>
      <c r="F46" s="332"/>
      <c r="G46" s="332"/>
      <c r="H46" s="332"/>
      <c r="I46" s="332"/>
    </row>
    <row r="47" spans="2:15" ht="14.4" thickTop="1" x14ac:dyDescent="0.25">
      <c r="C47" s="16" t="s">
        <v>109</v>
      </c>
      <c r="D47" s="17">
        <v>4.9999999999999899E-2</v>
      </c>
    </row>
    <row r="50" spans="9:15" x14ac:dyDescent="0.25">
      <c r="I50" s="18"/>
      <c r="J50" s="18"/>
    </row>
    <row r="51" spans="9:15" x14ac:dyDescent="0.25">
      <c r="I51" s="18"/>
      <c r="J51" s="18"/>
    </row>
    <row r="52" spans="9:15" x14ac:dyDescent="0.25">
      <c r="I52" s="18"/>
      <c r="J52" s="18"/>
      <c r="O52" s="55"/>
    </row>
    <row r="53" spans="9:15" x14ac:dyDescent="0.25">
      <c r="I53" s="18"/>
      <c r="J53" s="18"/>
      <c r="O53" s="55"/>
    </row>
    <row r="54" spans="9:15" x14ac:dyDescent="0.25">
      <c r="I54" s="18"/>
      <c r="J54" s="18"/>
      <c r="O54" s="55"/>
    </row>
    <row r="55" spans="9:15" x14ac:dyDescent="0.25">
      <c r="I55" s="18"/>
      <c r="J55" s="18"/>
      <c r="O55" s="55"/>
    </row>
    <row r="56" spans="9:15" x14ac:dyDescent="0.25">
      <c r="I56" s="18"/>
      <c r="J56" s="18"/>
      <c r="O56" s="55"/>
    </row>
    <row r="57" spans="9:15" x14ac:dyDescent="0.25">
      <c r="I57" s="18"/>
      <c r="J57" s="18"/>
      <c r="O57" s="55"/>
    </row>
    <row r="58" spans="9:15" x14ac:dyDescent="0.25">
      <c r="I58" s="18"/>
      <c r="J58" s="18"/>
      <c r="O58" s="55"/>
    </row>
    <row r="59" spans="9:15" x14ac:dyDescent="0.25">
      <c r="I59" s="18"/>
      <c r="J59" s="18"/>
      <c r="O59" s="55"/>
    </row>
    <row r="60" spans="9:15" x14ac:dyDescent="0.25">
      <c r="I60" s="18"/>
      <c r="J60" s="18"/>
      <c r="O60" s="55"/>
    </row>
    <row r="61" spans="9:15" x14ac:dyDescent="0.25">
      <c r="I61" s="18"/>
      <c r="J61" s="18"/>
      <c r="L61" s="55"/>
    </row>
  </sheetData>
  <mergeCells count="40">
    <mergeCell ref="E42:I42"/>
    <mergeCell ref="E43:I43"/>
    <mergeCell ref="E44:K44"/>
    <mergeCell ref="L4:O4"/>
    <mergeCell ref="C27:C28"/>
    <mergeCell ref="C4:C5"/>
    <mergeCell ref="E4:K4"/>
    <mergeCell ref="B35:B36"/>
    <mergeCell ref="C35:C36"/>
    <mergeCell ref="B29:B30"/>
    <mergeCell ref="C29:C30"/>
    <mergeCell ref="B33:B34"/>
    <mergeCell ref="C33:C34"/>
    <mergeCell ref="B15:B16"/>
    <mergeCell ref="C15:C16"/>
    <mergeCell ref="B17:B18"/>
    <mergeCell ref="C17:C18"/>
    <mergeCell ref="B11:B12"/>
    <mergeCell ref="C11:C12"/>
    <mergeCell ref="B9:B10"/>
    <mergeCell ref="C9:C10"/>
    <mergeCell ref="D4:D5"/>
    <mergeCell ref="B7:B8"/>
    <mergeCell ref="C7:C8"/>
    <mergeCell ref="E45:I45"/>
    <mergeCell ref="E46:I46"/>
    <mergeCell ref="B3:O3"/>
    <mergeCell ref="B13:B14"/>
    <mergeCell ref="C13:C14"/>
    <mergeCell ref="B23:B24"/>
    <mergeCell ref="C23:C24"/>
    <mergeCell ref="B25:B26"/>
    <mergeCell ref="C25:C26"/>
    <mergeCell ref="B19:B20"/>
    <mergeCell ref="C19:C20"/>
    <mergeCell ref="B21:B22"/>
    <mergeCell ref="C21:C22"/>
    <mergeCell ref="B27:B28"/>
    <mergeCell ref="E41:I41"/>
    <mergeCell ref="B4:B5"/>
  </mergeCells>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7"/>
  </sheetPr>
  <dimension ref="A1:M42"/>
  <sheetViews>
    <sheetView showGridLines="0" showRowColHeaders="0" zoomScaleNormal="100" workbookViewId="0">
      <selection activeCell="B1" sqref="B1"/>
    </sheetView>
  </sheetViews>
  <sheetFormatPr defaultColWidth="10" defaultRowHeight="13.8" x14ac:dyDescent="0.25"/>
  <cols>
    <col min="1" max="1" width="4.109375" style="1" customWidth="1"/>
    <col min="2" max="2" width="69" style="1" customWidth="1"/>
    <col min="3" max="3" width="24.33203125" style="1" customWidth="1"/>
    <col min="4" max="4" width="15.88671875" style="1" customWidth="1"/>
    <col min="5" max="5" width="11.33203125" style="1" customWidth="1"/>
    <col min="6" max="8" width="11.44140625" style="1" customWidth="1"/>
    <col min="9" max="16384" width="10" style="1"/>
  </cols>
  <sheetData>
    <row r="1" spans="1:11" x14ac:dyDescent="0.25">
      <c r="B1" s="87" t="s">
        <v>19</v>
      </c>
      <c r="C1" s="3"/>
      <c r="D1" s="3"/>
      <c r="E1" s="3"/>
      <c r="F1" s="3"/>
      <c r="G1" s="3"/>
      <c r="H1" s="3"/>
    </row>
    <row r="2" spans="1:11" ht="14.4" thickBot="1" x14ac:dyDescent="0.3">
      <c r="A2" s="8"/>
    </row>
    <row r="3" spans="1:11" ht="34.200000000000003" customHeight="1" thickTop="1" thickBot="1" x14ac:dyDescent="0.3">
      <c r="B3" s="333" t="s">
        <v>110</v>
      </c>
      <c r="C3" s="334"/>
      <c r="D3" s="202"/>
      <c r="E3" s="202"/>
      <c r="F3" s="202"/>
      <c r="G3" s="202"/>
      <c r="H3" s="203"/>
    </row>
    <row r="4" spans="1:11" ht="21.75" customHeight="1" thickBot="1" x14ac:dyDescent="0.3">
      <c r="B4" s="341" t="s">
        <v>54</v>
      </c>
      <c r="C4" s="323" t="s">
        <v>111</v>
      </c>
      <c r="D4" s="323" t="s">
        <v>112</v>
      </c>
      <c r="E4" s="349" t="s">
        <v>23</v>
      </c>
      <c r="F4" s="349"/>
      <c r="G4" s="351" t="s">
        <v>24</v>
      </c>
      <c r="H4" s="352"/>
    </row>
    <row r="5" spans="1:11" ht="14.4" thickBot="1" x14ac:dyDescent="0.3">
      <c r="B5" s="348"/>
      <c r="C5" s="323"/>
      <c r="D5" s="323"/>
      <c r="E5" s="101" t="s">
        <v>271</v>
      </c>
      <c r="F5" s="101" t="s">
        <v>274</v>
      </c>
      <c r="G5" s="138" t="str">
        <f>E5</f>
        <v>2022 P</v>
      </c>
      <c r="H5" s="139" t="str">
        <f>F5</f>
        <v>2023 P</v>
      </c>
    </row>
    <row r="6" spans="1:11" ht="28.8" thickBot="1" x14ac:dyDescent="0.3">
      <c r="B6" s="103" t="s">
        <v>113</v>
      </c>
      <c r="C6" s="97"/>
      <c r="D6" s="91" t="s">
        <v>114</v>
      </c>
      <c r="E6" s="98">
        <f>'2. Macro'!L8</f>
        <v>65372.5</v>
      </c>
      <c r="F6" s="98">
        <f>'2. Macro'!M8</f>
        <v>70279.399999999994</v>
      </c>
      <c r="G6" s="98">
        <f>'2. Macro'!L7</f>
        <v>65372.5</v>
      </c>
      <c r="H6" s="104">
        <f>'2. Macro'!M7</f>
        <v>70279.399999999994</v>
      </c>
    </row>
    <row r="7" spans="1:11" s="10" customFormat="1" ht="14.4" thickBot="1" x14ac:dyDescent="0.3">
      <c r="B7" s="339" t="s">
        <v>115</v>
      </c>
      <c r="C7" s="347" t="s">
        <v>116</v>
      </c>
      <c r="D7" s="92" t="s">
        <v>114</v>
      </c>
      <c r="E7" s="98">
        <f>E13-E15</f>
        <v>-1335</v>
      </c>
      <c r="F7" s="98">
        <f>-3416.6</f>
        <v>-3416.6</v>
      </c>
      <c r="G7" s="98">
        <f>G13-G15</f>
        <v>-1242.5482653237959</v>
      </c>
      <c r="H7" s="104">
        <f>H13-H15</f>
        <v>-3443.4994443971264</v>
      </c>
      <c r="J7" s="59"/>
      <c r="K7" s="59"/>
    </row>
    <row r="8" spans="1:11" s="10" customFormat="1" ht="14.4" thickBot="1" x14ac:dyDescent="0.3">
      <c r="B8" s="339"/>
      <c r="C8" s="347"/>
      <c r="D8" s="92" t="s">
        <v>117</v>
      </c>
      <c r="E8" s="98">
        <f>E7/$E$6*100</f>
        <v>-2.0421431029867301</v>
      </c>
      <c r="F8" s="98">
        <f>F7/$F$6*100</f>
        <v>-4.8614530004524799</v>
      </c>
      <c r="G8" s="98">
        <f>G7/G6*100</f>
        <v>-1.9007201274600114</v>
      </c>
      <c r="H8" s="104">
        <f>H7/$F$6*100</f>
        <v>-4.8997280062111042</v>
      </c>
    </row>
    <row r="9" spans="1:11" s="10" customFormat="1" ht="14.4" thickBot="1" x14ac:dyDescent="0.3">
      <c r="B9" s="353" t="s">
        <v>118</v>
      </c>
      <c r="C9" s="347" t="s">
        <v>119</v>
      </c>
      <c r="D9" s="92" t="s">
        <v>114</v>
      </c>
      <c r="E9" s="201">
        <v>504.86399999999998</v>
      </c>
      <c r="F9" s="201">
        <v>269.34699999999998</v>
      </c>
      <c r="G9" s="98">
        <v>506.48469012171518</v>
      </c>
      <c r="H9" s="104">
        <v>282.79231169194281</v>
      </c>
    </row>
    <row r="10" spans="1:11" s="10" customFormat="1" ht="14.4" thickBot="1" x14ac:dyDescent="0.3">
      <c r="B10" s="353"/>
      <c r="C10" s="347"/>
      <c r="D10" s="92" t="s">
        <v>117</v>
      </c>
      <c r="E10" s="98">
        <f>E9/$E$6*100</f>
        <v>0.77228804160770959</v>
      </c>
      <c r="F10" s="98">
        <f>F9/$F$6*100</f>
        <v>0.38325170675902187</v>
      </c>
      <c r="G10" s="98">
        <f>G9/$G$6*100</f>
        <v>0.77476720352092265</v>
      </c>
      <c r="H10" s="104">
        <f>H9/$H$6*100</f>
        <v>0.40238293396349828</v>
      </c>
      <c r="I10" s="19"/>
    </row>
    <row r="11" spans="1:11" s="10" customFormat="1" ht="14.4" thickBot="1" x14ac:dyDescent="0.3">
      <c r="B11" s="353" t="s">
        <v>120</v>
      </c>
      <c r="C11" s="347" t="s">
        <v>121</v>
      </c>
      <c r="D11" s="92" t="s">
        <v>114</v>
      </c>
      <c r="E11" s="201">
        <f>2894.126-2916.051</f>
        <v>-21.924999999999727</v>
      </c>
      <c r="F11" s="201">
        <f>3049.912-3049.912</f>
        <v>0</v>
      </c>
      <c r="G11" s="98">
        <f>E11</f>
        <v>-21.924999999999727</v>
      </c>
      <c r="H11" s="104">
        <f>F11</f>
        <v>0</v>
      </c>
      <c r="I11" s="19"/>
    </row>
    <row r="12" spans="1:11" s="10" customFormat="1" ht="14.4" thickBot="1" x14ac:dyDescent="0.3">
      <c r="B12" s="353"/>
      <c r="C12" s="347"/>
      <c r="D12" s="92" t="s">
        <v>117</v>
      </c>
      <c r="E12" s="98">
        <f>E11/E6*100</f>
        <v>-3.3538567440437074E-2</v>
      </c>
      <c r="F12" s="98">
        <f>F11/F6*100</f>
        <v>0</v>
      </c>
      <c r="G12" s="98">
        <f>G11/G6*100</f>
        <v>-3.3538567440437074E-2</v>
      </c>
      <c r="H12" s="104">
        <f>H11/H6*100</f>
        <v>0</v>
      </c>
    </row>
    <row r="13" spans="1:11" s="10" customFormat="1" ht="14.4" thickBot="1" x14ac:dyDescent="0.3">
      <c r="B13" s="339" t="s">
        <v>122</v>
      </c>
      <c r="C13" s="338" t="s">
        <v>123</v>
      </c>
      <c r="D13" s="92" t="s">
        <v>114</v>
      </c>
      <c r="E13" s="201">
        <v>23961</v>
      </c>
      <c r="F13" s="201">
        <v>25789.3</v>
      </c>
      <c r="G13" s="140">
        <v>24037.038924725719</v>
      </c>
      <c r="H13" s="141">
        <v>25847.885995540979</v>
      </c>
    </row>
    <row r="14" spans="1:11" s="10" customFormat="1" ht="14.4" thickBot="1" x14ac:dyDescent="0.3">
      <c r="B14" s="340"/>
      <c r="C14" s="338"/>
      <c r="D14" s="92" t="s">
        <v>117</v>
      </c>
      <c r="E14" s="98">
        <v>37.6</v>
      </c>
      <c r="F14" s="98">
        <f>F13/$F$6*100</f>
        <v>36.695390114315153</v>
      </c>
      <c r="G14" s="98">
        <f>G13/$G$6*100</f>
        <v>36.769343263185164</v>
      </c>
      <c r="H14" s="104">
        <f>H13/$H$6*100</f>
        <v>36.778751661996232</v>
      </c>
    </row>
    <row r="15" spans="1:11" s="10" customFormat="1" ht="14.4" thickBot="1" x14ac:dyDescent="0.3">
      <c r="B15" s="339" t="s">
        <v>124</v>
      </c>
      <c r="C15" s="338" t="s">
        <v>125</v>
      </c>
      <c r="D15" s="92" t="s">
        <v>114</v>
      </c>
      <c r="E15" s="201">
        <v>25296</v>
      </c>
      <c r="F15" s="201">
        <v>29205.9</v>
      </c>
      <c r="G15" s="140">
        <v>25279.587190049515</v>
      </c>
      <c r="H15" s="141">
        <v>29291.385439938105</v>
      </c>
      <c r="I15" s="59"/>
    </row>
    <row r="16" spans="1:11" s="10" customFormat="1" ht="14.4" thickBot="1" x14ac:dyDescent="0.3">
      <c r="B16" s="340"/>
      <c r="C16" s="338"/>
      <c r="D16" s="92" t="s">
        <v>117</v>
      </c>
      <c r="E16" s="98">
        <v>42</v>
      </c>
      <c r="F16" s="98">
        <f>F15/F6*100</f>
        <v>41.556843114767631</v>
      </c>
      <c r="G16" s="98">
        <f>G15/$G$6*100</f>
        <v>38.670063390645169</v>
      </c>
      <c r="H16" s="104">
        <f>H15/$H$6*100</f>
        <v>41.678479668207338</v>
      </c>
    </row>
    <row r="17" spans="2:11" s="10" customFormat="1" ht="14.4" thickBot="1" x14ac:dyDescent="0.3">
      <c r="B17" s="353" t="s">
        <v>126</v>
      </c>
      <c r="C17" s="338" t="s">
        <v>127</v>
      </c>
      <c r="D17" s="92" t="s">
        <v>114</v>
      </c>
      <c r="E17" s="98">
        <v>14118.067000000001</v>
      </c>
      <c r="F17" s="99">
        <v>14922.009</v>
      </c>
      <c r="G17" s="98">
        <f>E17</f>
        <v>14118.067000000001</v>
      </c>
      <c r="H17" s="104">
        <f>F17</f>
        <v>14922.009</v>
      </c>
    </row>
    <row r="18" spans="2:11" s="10" customFormat="1" ht="14.4" thickBot="1" x14ac:dyDescent="0.3">
      <c r="B18" s="353"/>
      <c r="C18" s="338"/>
      <c r="D18" s="92" t="s">
        <v>117</v>
      </c>
      <c r="E18" s="98">
        <f>E17/$E$6*100</f>
        <v>21.596339439366709</v>
      </c>
      <c r="F18" s="98">
        <f>F17/F6*100</f>
        <v>21.232408074058686</v>
      </c>
      <c r="G18" s="98">
        <f>G17/G6*100</f>
        <v>21.596339439366709</v>
      </c>
      <c r="H18" s="104">
        <f>H17/H6*100</f>
        <v>21.232408074058686</v>
      </c>
    </row>
    <row r="19" spans="2:11" s="10" customFormat="1" ht="14.4" thickBot="1" x14ac:dyDescent="0.3">
      <c r="B19" s="353" t="s">
        <v>128</v>
      </c>
      <c r="C19" s="338" t="s">
        <v>129</v>
      </c>
      <c r="D19" s="92" t="s">
        <v>114</v>
      </c>
      <c r="E19" s="98">
        <v>8568.0689999999995</v>
      </c>
      <c r="F19" s="99">
        <v>9466.17</v>
      </c>
      <c r="G19" s="98">
        <f>E19</f>
        <v>8568.0689999999995</v>
      </c>
      <c r="H19" s="104">
        <f>F19</f>
        <v>9466.17</v>
      </c>
    </row>
    <row r="20" spans="2:11" s="10" customFormat="1" ht="14.4" thickBot="1" x14ac:dyDescent="0.3">
      <c r="B20" s="354"/>
      <c r="C20" s="338"/>
      <c r="D20" s="92" t="s">
        <v>117</v>
      </c>
      <c r="E20" s="98">
        <f t="shared" ref="E20" si="0">E19/E6*100</f>
        <v>13.106534093081953</v>
      </c>
      <c r="F20" s="98">
        <f>F19/F6*100</f>
        <v>13.469338099073131</v>
      </c>
      <c r="G20" s="98">
        <f>G19/G6*100</f>
        <v>13.106534093081953</v>
      </c>
      <c r="H20" s="104">
        <f>H19/H6*100</f>
        <v>13.469338099073131</v>
      </c>
      <c r="J20" s="1"/>
      <c r="K20" s="1"/>
    </row>
    <row r="21" spans="2:11" s="10" customFormat="1" ht="14.4" thickBot="1" x14ac:dyDescent="0.3">
      <c r="B21" s="339" t="s">
        <v>130</v>
      </c>
      <c r="C21" s="347" t="s">
        <v>131</v>
      </c>
      <c r="D21" s="92" t="s">
        <v>114</v>
      </c>
      <c r="E21" s="98">
        <f>E19+E17</f>
        <v>22686.135999999999</v>
      </c>
      <c r="F21" s="98">
        <f>F19+F17</f>
        <v>24388.179</v>
      </c>
      <c r="G21" s="98">
        <f>G19+G17</f>
        <v>22686.135999999999</v>
      </c>
      <c r="H21" s="104">
        <f>H17+H19</f>
        <v>24388.179</v>
      </c>
      <c r="J21" s="1"/>
      <c r="K21" s="1"/>
    </row>
    <row r="22" spans="2:11" s="10" customFormat="1" ht="16.5" customHeight="1" thickBot="1" x14ac:dyDescent="0.3">
      <c r="B22" s="339"/>
      <c r="C22" s="347"/>
      <c r="D22" s="92" t="s">
        <v>117</v>
      </c>
      <c r="E22" s="98">
        <f>E21/E6*100</f>
        <v>34.702873532448656</v>
      </c>
      <c r="F22" s="98">
        <f>F21/F6*100</f>
        <v>34.701746173131816</v>
      </c>
      <c r="G22" s="98">
        <f>G21/$G$6*100</f>
        <v>34.702873532448656</v>
      </c>
      <c r="H22" s="104">
        <f>H21/$H$6*100</f>
        <v>34.701746173131816</v>
      </c>
      <c r="J22" s="1"/>
      <c r="K22" s="1"/>
    </row>
    <row r="23" spans="2:11" s="10" customFormat="1" ht="14.4" thickBot="1" x14ac:dyDescent="0.3">
      <c r="B23" s="339" t="s">
        <v>132</v>
      </c>
      <c r="C23" s="338" t="s">
        <v>133</v>
      </c>
      <c r="D23" s="92" t="s">
        <v>114</v>
      </c>
      <c r="E23" s="199">
        <v>108.5</v>
      </c>
      <c r="F23" s="199">
        <v>-107.8</v>
      </c>
      <c r="G23" s="199">
        <f>E23</f>
        <v>108.5</v>
      </c>
      <c r="H23" s="200">
        <f>F23</f>
        <v>-107.8</v>
      </c>
      <c r="J23" s="1"/>
      <c r="K23" s="1"/>
    </row>
    <row r="24" spans="2:11" ht="14.4" thickBot="1" x14ac:dyDescent="0.3">
      <c r="B24" s="340"/>
      <c r="C24" s="338"/>
      <c r="D24" s="92" t="s">
        <v>117</v>
      </c>
      <c r="E24" s="98">
        <f>E23/E6*100</f>
        <v>0.16597193009292899</v>
      </c>
      <c r="F24" s="98">
        <f>F23/F6*100</f>
        <v>-0.1533877636974704</v>
      </c>
      <c r="G24" s="98">
        <f>G23/G6*100</f>
        <v>0.16597193009292899</v>
      </c>
      <c r="H24" s="104">
        <f>H23/H6*100</f>
        <v>-0.1533877636974704</v>
      </c>
    </row>
    <row r="25" spans="2:11" ht="14.4" thickBot="1" x14ac:dyDescent="0.3">
      <c r="B25" s="339" t="s">
        <v>134</v>
      </c>
      <c r="C25" s="338" t="s">
        <v>135</v>
      </c>
      <c r="D25" s="92" t="s">
        <v>114</v>
      </c>
      <c r="E25" s="199">
        <v>0</v>
      </c>
      <c r="F25" s="199">
        <v>0</v>
      </c>
      <c r="G25" s="199">
        <v>0</v>
      </c>
      <c r="H25" s="200">
        <v>0</v>
      </c>
    </row>
    <row r="26" spans="2:11" ht="14.4" thickBot="1" x14ac:dyDescent="0.3">
      <c r="B26" s="340"/>
      <c r="C26" s="338"/>
      <c r="D26" s="92" t="s">
        <v>117</v>
      </c>
      <c r="E26" s="98">
        <f>E25/$E$6*100</f>
        <v>0</v>
      </c>
      <c r="F26" s="98">
        <f>F25/$F$6*100</f>
        <v>0</v>
      </c>
      <c r="G26" s="98">
        <f>G25/$G$6*100</f>
        <v>0</v>
      </c>
      <c r="H26" s="104">
        <f>H25/$H$6*100</f>
        <v>0</v>
      </c>
    </row>
    <row r="27" spans="2:11" ht="14.4" thickBot="1" x14ac:dyDescent="0.3">
      <c r="B27" s="339" t="s">
        <v>136</v>
      </c>
      <c r="C27" s="338" t="s">
        <v>137</v>
      </c>
      <c r="D27" s="92" t="s">
        <v>114</v>
      </c>
      <c r="E27" s="199">
        <v>0</v>
      </c>
      <c r="F27" s="199">
        <v>0</v>
      </c>
      <c r="G27" s="199">
        <v>0</v>
      </c>
      <c r="H27" s="200">
        <v>0</v>
      </c>
    </row>
    <row r="28" spans="2:11" ht="14.4" thickBot="1" x14ac:dyDescent="0.3">
      <c r="B28" s="340"/>
      <c r="C28" s="338"/>
      <c r="D28" s="92" t="s">
        <v>117</v>
      </c>
      <c r="E28" s="98">
        <f>E27/$E$6*100</f>
        <v>0</v>
      </c>
      <c r="F28" s="98">
        <f>F27/$F$6*100</f>
        <v>0</v>
      </c>
      <c r="G28" s="98">
        <f>G27/$G$6*100</f>
        <v>0</v>
      </c>
      <c r="H28" s="104">
        <f>H27/$H$6*100</f>
        <v>0</v>
      </c>
    </row>
    <row r="29" spans="2:11" ht="28.8" thickBot="1" x14ac:dyDescent="0.3">
      <c r="B29" s="105" t="s">
        <v>138</v>
      </c>
      <c r="C29" s="92" t="s">
        <v>139</v>
      </c>
      <c r="D29" s="92" t="s">
        <v>117</v>
      </c>
      <c r="E29" s="240">
        <v>0</v>
      </c>
      <c r="F29" s="240">
        <v>0</v>
      </c>
      <c r="G29" s="240">
        <f>E29</f>
        <v>0</v>
      </c>
      <c r="H29" s="241">
        <f>F29</f>
        <v>0</v>
      </c>
    </row>
    <row r="30" spans="2:11" ht="33" customHeight="1" thickBot="1" x14ac:dyDescent="0.3">
      <c r="B30" s="105" t="s">
        <v>140</v>
      </c>
      <c r="C30" s="92" t="s">
        <v>141</v>
      </c>
      <c r="D30" s="92" t="s">
        <v>117</v>
      </c>
      <c r="E30" s="199">
        <f>E8-'2. Macro'!L22-E24+E29</f>
        <v>-1.8153397822214516</v>
      </c>
      <c r="F30" s="199">
        <f>F8-'2. Macro'!M22-F24+F29</f>
        <v>-3.7576297497811977</v>
      </c>
      <c r="G30" s="142">
        <f>G8-'2. Macro'!L21-G24+G29</f>
        <v>-2.1911301301596735</v>
      </c>
      <c r="H30" s="143">
        <f>H8-'2. Macro'!M21-H24+H29</f>
        <v>-4.1690956708536664</v>
      </c>
    </row>
    <row r="31" spans="2:11" ht="28.8" thickBot="1" x14ac:dyDescent="0.3">
      <c r="B31" s="105" t="s">
        <v>142</v>
      </c>
      <c r="C31" s="92" t="s">
        <v>143</v>
      </c>
      <c r="D31" s="92" t="s">
        <v>117</v>
      </c>
      <c r="E31" s="229">
        <f>E10-'2. Macro'!L24-E26</f>
        <v>0.86285276110383757</v>
      </c>
      <c r="F31" s="229">
        <f>F10-'2. Macro'!M24-F26</f>
        <v>0.60239973884320897</v>
      </c>
      <c r="G31" s="229">
        <f>G10-'2. Macro'!L23-G26</f>
        <v>0.74607471560157557</v>
      </c>
      <c r="H31" s="230">
        <f>H10-'2. Macro'!M23-H26</f>
        <v>0.53548193294273883</v>
      </c>
    </row>
    <row r="32" spans="2:11" ht="28.8" thickBot="1" x14ac:dyDescent="0.3">
      <c r="B32" s="105" t="s">
        <v>144</v>
      </c>
      <c r="C32" s="92" t="s">
        <v>145</v>
      </c>
      <c r="D32" s="92" t="s">
        <v>117</v>
      </c>
      <c r="E32" s="229">
        <f>E12-'2. Macro'!L26-E28</f>
        <v>1.1743792307626927E-2</v>
      </c>
      <c r="F32" s="229">
        <f>F12-'2. Macro'!M26-F28</f>
        <v>0.10957401604209356</v>
      </c>
      <c r="G32" s="240">
        <f>G12-'2. Macro'!L25-G28</f>
        <v>-4.7884811400110618E-2</v>
      </c>
      <c r="H32" s="241">
        <f>H12-'2. Macro'!M25-H28</f>
        <v>6.6549499489620273E-2</v>
      </c>
    </row>
    <row r="33" spans="2:13" ht="28.8" thickBot="1" x14ac:dyDescent="0.3">
      <c r="B33" s="105" t="s">
        <v>146</v>
      </c>
      <c r="C33" s="100" t="s">
        <v>147</v>
      </c>
      <c r="D33" s="92" t="s">
        <v>117</v>
      </c>
      <c r="E33" s="255">
        <v>-1</v>
      </c>
      <c r="F33" s="255">
        <v>-1</v>
      </c>
      <c r="G33" s="255">
        <v>-1</v>
      </c>
      <c r="H33" s="256">
        <v>-1</v>
      </c>
    </row>
    <row r="34" spans="2:13" ht="28.8" thickBot="1" x14ac:dyDescent="0.35">
      <c r="B34" s="106" t="s">
        <v>148</v>
      </c>
      <c r="C34" s="107" t="s">
        <v>149</v>
      </c>
      <c r="D34" s="108" t="s">
        <v>117</v>
      </c>
      <c r="E34" s="107">
        <v>0</v>
      </c>
      <c r="F34" s="107">
        <v>0</v>
      </c>
      <c r="G34" s="107">
        <v>0</v>
      </c>
      <c r="H34" s="109">
        <v>0</v>
      </c>
      <c r="J34" s="63"/>
      <c r="K34" s="63"/>
    </row>
    <row r="35" spans="2:13" ht="14.4" thickTop="1" x14ac:dyDescent="0.25">
      <c r="C35" s="20"/>
      <c r="D35" s="20"/>
      <c r="E35" s="20"/>
      <c r="F35" s="20"/>
      <c r="G35" s="20"/>
      <c r="H35" s="20"/>
    </row>
    <row r="36" spans="2:13" ht="15" thickBot="1" x14ac:dyDescent="0.35">
      <c r="C36" s="6" t="s">
        <v>47</v>
      </c>
      <c r="D36" s="6"/>
      <c r="E36" s="46" t="s">
        <v>48</v>
      </c>
      <c r="F36" s="37"/>
      <c r="G36" s="37"/>
      <c r="H36" s="37"/>
    </row>
    <row r="37" spans="2:13" ht="15.6" thickTop="1" thickBot="1" x14ac:dyDescent="0.35">
      <c r="B37" s="21"/>
      <c r="C37" s="22" t="s">
        <v>150</v>
      </c>
      <c r="D37" s="121"/>
      <c r="E37" s="88" t="s">
        <v>151</v>
      </c>
      <c r="F37" s="36"/>
      <c r="G37" s="36"/>
    </row>
    <row r="38" spans="2:13" ht="15" customHeight="1" thickBot="1" x14ac:dyDescent="0.35">
      <c r="B38" s="23"/>
      <c r="C38" s="6" t="s">
        <v>104</v>
      </c>
      <c r="D38" s="137"/>
      <c r="E38" s="65" t="s">
        <v>105</v>
      </c>
      <c r="F38" s="63"/>
      <c r="G38" s="63"/>
      <c r="H38" s="63"/>
      <c r="I38" s="63"/>
      <c r="L38" s="63"/>
      <c r="M38" s="63"/>
    </row>
    <row r="39" spans="2:13" ht="15.6" thickTop="1" thickBot="1" x14ac:dyDescent="0.35">
      <c r="C39" s="6"/>
      <c r="E39" s="41"/>
    </row>
    <row r="40" spans="2:13" ht="15" thickTop="1" thickBot="1" x14ac:dyDescent="0.3">
      <c r="C40" s="15" t="s">
        <v>107</v>
      </c>
      <c r="D40" s="120"/>
      <c r="E40" s="89" t="s">
        <v>108</v>
      </c>
      <c r="F40" s="38"/>
      <c r="G40" s="38"/>
    </row>
    <row r="41" spans="2:13" ht="14.4" customHeight="1" thickTop="1" x14ac:dyDescent="0.25">
      <c r="C41" s="350"/>
      <c r="D41" s="350"/>
      <c r="E41" s="11"/>
      <c r="F41" s="11"/>
      <c r="G41" s="11"/>
      <c r="H41" s="11"/>
    </row>
    <row r="42" spans="2:13" x14ac:dyDescent="0.25">
      <c r="C42" s="350"/>
      <c r="D42" s="350"/>
      <c r="E42" s="11"/>
      <c r="F42" s="11"/>
      <c r="G42" s="11"/>
      <c r="H42" s="11"/>
    </row>
  </sheetData>
  <mergeCells count="30">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C27:C28"/>
    <mergeCell ref="B3:C3"/>
    <mergeCell ref="B4:B5"/>
    <mergeCell ref="C4:C5"/>
    <mergeCell ref="D4:D5"/>
    <mergeCell ref="E4:F4"/>
    <mergeCell ref="B27:B28"/>
    <mergeCell ref="B15:B16"/>
    <mergeCell ref="C15:C16"/>
    <mergeCell ref="B23:B24"/>
    <mergeCell ref="C23:C24"/>
    <mergeCell ref="B25:B26"/>
    <mergeCell ref="C25:C26"/>
    <mergeCell ref="B21:B22"/>
    <mergeCell ref="C21:C22"/>
  </mergeCells>
  <hyperlinks>
    <hyperlink ref="B1" location="Content!A1" display="↖ atgal į turinį" xr:uid="{8D49A034-0168-4894-B604-40CFF3F7B0DE}"/>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theme="7"/>
  </sheetPr>
  <dimension ref="A1:L45"/>
  <sheetViews>
    <sheetView showGridLines="0" showRowColHeaders="0" zoomScaleNormal="100" workbookViewId="0">
      <selection activeCell="B1" sqref="B1:C1"/>
    </sheetView>
  </sheetViews>
  <sheetFormatPr defaultColWidth="10" defaultRowHeight="13.8" x14ac:dyDescent="0.25"/>
  <cols>
    <col min="1" max="1" width="3.6640625" style="1" customWidth="1"/>
    <col min="2" max="2" width="5.33203125" style="1" customWidth="1"/>
    <col min="3" max="3" width="62.5546875" style="1" customWidth="1"/>
    <col min="4" max="4" width="23.33203125" style="1" customWidth="1"/>
    <col min="5" max="6" width="18.88671875" style="1" customWidth="1"/>
    <col min="7" max="16384" width="10" style="1"/>
  </cols>
  <sheetData>
    <row r="1" spans="1:12" x14ac:dyDescent="0.25">
      <c r="A1" s="257"/>
      <c r="B1" s="371" t="s">
        <v>19</v>
      </c>
      <c r="C1" s="371"/>
      <c r="D1" s="257"/>
      <c r="E1" s="20"/>
      <c r="F1" s="20"/>
    </row>
    <row r="2" spans="1:12" ht="14.4" thickBot="1" x14ac:dyDescent="0.3">
      <c r="A2" s="258" t="s">
        <v>20</v>
      </c>
      <c r="B2" s="20"/>
      <c r="C2" s="20"/>
      <c r="D2" s="20"/>
      <c r="E2" s="20"/>
      <c r="F2" s="20"/>
    </row>
    <row r="3" spans="1:12" ht="34.5" customHeight="1" thickTop="1" thickBot="1" x14ac:dyDescent="0.3">
      <c r="A3" s="248"/>
      <c r="B3" s="372" t="s">
        <v>284</v>
      </c>
      <c r="C3" s="373"/>
      <c r="D3" s="373"/>
      <c r="E3" s="373"/>
      <c r="F3" s="374"/>
    </row>
    <row r="4" spans="1:12" ht="41.25" customHeight="1" thickBot="1" x14ac:dyDescent="0.3">
      <c r="A4" s="20"/>
      <c r="B4" s="194" t="s">
        <v>152</v>
      </c>
      <c r="C4" s="122" t="s">
        <v>153</v>
      </c>
      <c r="D4" s="122" t="s">
        <v>154</v>
      </c>
      <c r="E4" s="375" t="s">
        <v>155</v>
      </c>
      <c r="F4" s="376"/>
      <c r="J4" s="44"/>
      <c r="K4" s="44"/>
      <c r="L4" s="44"/>
    </row>
    <row r="5" spans="1:12" ht="33" customHeight="1" thickBot="1" x14ac:dyDescent="0.3">
      <c r="A5" s="20"/>
      <c r="B5" s="377" t="s">
        <v>156</v>
      </c>
      <c r="C5" s="378"/>
      <c r="D5" s="378"/>
      <c r="E5" s="193" t="s">
        <v>23</v>
      </c>
      <c r="F5" s="144" t="s">
        <v>24</v>
      </c>
      <c r="J5" s="44"/>
      <c r="K5" s="44"/>
      <c r="L5" s="44"/>
    </row>
    <row r="6" spans="1:12" ht="14.25" customHeight="1" x14ac:dyDescent="0.25">
      <c r="A6" s="20"/>
      <c r="B6" s="379"/>
      <c r="C6" s="253" t="s">
        <v>157</v>
      </c>
      <c r="D6" s="395"/>
      <c r="E6" s="386" t="str">
        <f>"Taip"</f>
        <v>Taip</v>
      </c>
      <c r="F6" s="387"/>
    </row>
    <row r="7" spans="1:12" ht="14.25" customHeight="1" thickBot="1" x14ac:dyDescent="0.3">
      <c r="A7" s="20"/>
      <c r="B7" s="380"/>
      <c r="C7" s="254" t="s">
        <v>29</v>
      </c>
      <c r="D7" s="396"/>
      <c r="E7" s="393" t="str">
        <f>"Yes"</f>
        <v>Yes</v>
      </c>
      <c r="F7" s="394"/>
    </row>
    <row r="8" spans="1:12" ht="18" customHeight="1" x14ac:dyDescent="0.25">
      <c r="A8" s="20"/>
      <c r="B8" s="355" t="s">
        <v>308</v>
      </c>
      <c r="C8" s="364" t="s">
        <v>158</v>
      </c>
      <c r="D8" s="366" t="s">
        <v>159</v>
      </c>
      <c r="E8" s="126" t="str">
        <f>IF(E28&gt;eps,"Tiesa","Netiesa")</f>
        <v>Netiesa</v>
      </c>
      <c r="F8" s="145" t="str">
        <f>IF(F28&gt;eps,"Tiesa","Netiesa")</f>
        <v>Netiesa</v>
      </c>
    </row>
    <row r="9" spans="1:12" ht="15.75" customHeight="1" x14ac:dyDescent="0.25">
      <c r="A9" s="20"/>
      <c r="B9" s="356"/>
      <c r="C9" s="365"/>
      <c r="D9" s="367"/>
      <c r="E9" s="179" t="str">
        <f>CONCATENATE(FIXED(E28,1),IF(E28="Tiesa"," ≥ "," &lt; "),FIXED(0,1))</f>
        <v>-3,8 &lt; 0,0</v>
      </c>
      <c r="F9" s="242" t="str">
        <f>CONCATENATE(FIXED(F28,1),IF(F28="Tiesa"," ≥ "," &lt; "),FIXED(0,1))</f>
        <v>-4,2 &lt; 0,0</v>
      </c>
      <c r="H9" s="25"/>
    </row>
    <row r="10" spans="1:12" ht="15" thickBot="1" x14ac:dyDescent="0.3">
      <c r="A10" s="20"/>
      <c r="B10" s="363"/>
      <c r="C10" s="243" t="s">
        <v>160</v>
      </c>
      <c r="D10" s="368"/>
      <c r="E10" s="187" t="str">
        <f>IF(E8="Tiesa","True","False")</f>
        <v>False</v>
      </c>
      <c r="F10" s="146" t="str">
        <f>IF(F8="Tiesa","True","False")</f>
        <v>False</v>
      </c>
      <c r="H10" s="25"/>
    </row>
    <row r="11" spans="1:12" ht="36" customHeight="1" x14ac:dyDescent="0.25">
      <c r="A11" s="20"/>
      <c r="B11" s="355" t="s">
        <v>309</v>
      </c>
      <c r="C11" s="364" t="s">
        <v>161</v>
      </c>
      <c r="D11" s="366" t="s">
        <v>162</v>
      </c>
      <c r="E11" s="126" t="str">
        <f>IF((ABS(E28)+eps&lt;ABS($E$30))*(ABS(E28)&lt;ABS(E29))*(E31&gt;=-eps),"Tiesa","Netiesa")</f>
        <v>Netiesa</v>
      </c>
      <c r="F11" s="145" t="str">
        <f>IF((ABS(F28)+eps&lt;ABS($E$30))*(ABS(F28)&lt;ABS(F29))*(F31&gt;=-eps),"Tiesa","Netiesa")</f>
        <v>Netiesa</v>
      </c>
      <c r="I11" s="12"/>
    </row>
    <row r="12" spans="1:12" ht="43.5" customHeight="1" x14ac:dyDescent="0.25">
      <c r="A12" s="20"/>
      <c r="B12" s="356"/>
      <c r="C12" s="365"/>
      <c r="D12" s="367"/>
      <c r="E12" s="128" t="str">
        <f>CONCATENATE(FIXED(ABS(E28),1),IF(ABS(E28)+eps&lt;ABS($E$30)," &lt; "," ≥ "),FIXED(ABS($E$30),1)," &amp;
",FIXED(ABS(E28),1),IF(ABS(E28)&lt;ABS(E29)," &lt; "," ≥ "),FIXED(ABS(E29),1)," &amp;
",FIXED(E31,1),IF(E31&lt;-eps," &lt; "," ≥ "),FIXED(0,1))</f>
        <v>3,8 ≥ 1,0 &amp;
3,8 ≥ 1,8 &amp;
-2,4 &lt; 0,0</v>
      </c>
      <c r="F12" s="244" t="str">
        <f>CONCATENATE(FIXED(ABS(F28),1),IF(ABS(F28)+eps&lt;ABS($E$30)," &lt; "," ≥ "),FIXED(ABS($E$30),1)," &amp;
",FIXED(ABS(F28),1),IF(ABS(F28)&lt;ABS(F29)," &lt; "," ≥ "),FIXED(ABS(F29),1)," &amp;
",FIXED(F31,1),IF(F31&lt;-eps," &lt; "," ≥ "),FIXED(0,1))</f>
        <v>4,2 ≥ 1,0 &amp;
4,2 ≥ 2,2 &amp;
-1,4 &lt; 0,0</v>
      </c>
      <c r="G12" s="26"/>
      <c r="H12" s="27"/>
      <c r="I12" s="12"/>
      <c r="J12" s="12"/>
    </row>
    <row r="13" spans="1:12" ht="45" customHeight="1" thickBot="1" x14ac:dyDescent="0.3">
      <c r="A13" s="20"/>
      <c r="B13" s="363"/>
      <c r="C13" s="243" t="s">
        <v>163</v>
      </c>
      <c r="D13" s="368"/>
      <c r="E13" s="127" t="str">
        <f>IF(E11="Tiesa","True","False")</f>
        <v>False</v>
      </c>
      <c r="F13" s="147" t="str">
        <f>IF(F11="Tiesa","True","False")</f>
        <v>False</v>
      </c>
      <c r="G13" s="26"/>
      <c r="H13" s="27"/>
      <c r="I13" s="12"/>
      <c r="J13" s="12"/>
    </row>
    <row r="14" spans="1:12" ht="33.75" customHeight="1" x14ac:dyDescent="0.25">
      <c r="A14" s="20"/>
      <c r="B14" s="355" t="s">
        <v>310</v>
      </c>
      <c r="C14" s="364" t="s">
        <v>164</v>
      </c>
      <c r="D14" s="366" t="s">
        <v>165</v>
      </c>
      <c r="E14" s="126" t="str">
        <f>IF((ABS(E28)+eps&lt;ABS($E$30))*(E31&lt;-eps),"Tiesa","Netiesa")</f>
        <v>Netiesa</v>
      </c>
      <c r="F14" s="145" t="str">
        <f>IF((ABS(F28)+eps&lt;ABS($E$30))*(F31&lt;-eps),"Tiesa","Netiesa")</f>
        <v>Netiesa</v>
      </c>
      <c r="I14" s="12"/>
      <c r="J14" s="12"/>
    </row>
    <row r="15" spans="1:12" ht="33" customHeight="1" x14ac:dyDescent="0.25">
      <c r="A15" s="20"/>
      <c r="B15" s="356"/>
      <c r="C15" s="365"/>
      <c r="D15" s="367"/>
      <c r="E15" s="128" t="str">
        <f>CONCATENATE(FIXED(ABS(E28),1),IF(ABS(E28)+eps&lt;ABS($E$30)," &lt; "," ≥ "),FIXED(ABS($E$30),1)," &amp;
",FIXED(E31,1),IF(E31&lt;-eps," &lt; "," ≥ "),FIXED(0,1))</f>
        <v>3,8 ≥ 1,0 &amp;
-2,4 &lt; 0,0</v>
      </c>
      <c r="F15" s="244" t="str">
        <f>CONCATENATE(FIXED(ABS(F28),1),IF(ABS(F28)+eps&lt;ABS($E$30)," &lt; "," ≥ "),FIXED(ABS($E$30),1)," &amp;
",FIXED(F31,1),IF(F31&lt;-eps," &lt; "," ≥ "),FIXED(0,1))</f>
        <v>4,2 ≥ 1,0 &amp;
-1,4 &lt; 0,0</v>
      </c>
    </row>
    <row r="16" spans="1:12" ht="44.25" customHeight="1" thickBot="1" x14ac:dyDescent="0.3">
      <c r="A16" s="20"/>
      <c r="B16" s="363"/>
      <c r="C16" s="243" t="s">
        <v>166</v>
      </c>
      <c r="D16" s="368"/>
      <c r="E16" s="127" t="str">
        <f>IF(E14="Tiesa","True","False")</f>
        <v>False</v>
      </c>
      <c r="F16" s="148" t="str">
        <f>IF(F14="Tiesa","True","False")</f>
        <v>False</v>
      </c>
    </row>
    <row r="17" spans="1:6" ht="34.5" customHeight="1" x14ac:dyDescent="0.25">
      <c r="A17" s="20"/>
      <c r="B17" s="355" t="s">
        <v>311</v>
      </c>
      <c r="C17" s="358" t="s">
        <v>167</v>
      </c>
      <c r="D17" s="360" t="s">
        <v>168</v>
      </c>
      <c r="E17" s="126" t="str">
        <f>IF(($E$32&gt;0),IF((E28&gt;=E29+$E$32),"Tiesa","Netiesa"),"Netaikoma")</f>
        <v>Netaikoma</v>
      </c>
      <c r="F17" s="149" t="str">
        <f>IF(($E$32&gt;0),IF((E28&gt;=E29+$E$32),"Tiesa","Netiesa"),"Netaikoma")</f>
        <v>Netaikoma</v>
      </c>
    </row>
    <row r="18" spans="1:6" ht="15.75" customHeight="1" x14ac:dyDescent="0.25">
      <c r="A18" s="20"/>
      <c r="B18" s="356"/>
      <c r="C18" s="359"/>
      <c r="D18" s="361"/>
      <c r="E18" s="128" t="str">
        <f>IF($E$32=0,"",CONCATENATE(FIXED(E28,1),IF(E28&gt;=E29+$E$32," ≥ "," &lt; "),FIXED(E29,1)," + ",FIXED($E$32,1)," = ",FIXED(E29+$E$32,1)))</f>
        <v/>
      </c>
      <c r="F18" s="244" t="str">
        <f>IF($E$32=0,"",CONCATENATE(FIXED(F28,1),IF(F28&gt;=F29+$E$32," ≥ "," &lt; "),FIXED(F29,1)," + ",FIXED($E$32,1)," = ",FIXED(F29+$E$32,1)))</f>
        <v/>
      </c>
    </row>
    <row r="19" spans="1:6" ht="47.25" customHeight="1" thickBot="1" x14ac:dyDescent="0.3">
      <c r="A19" s="20"/>
      <c r="B19" s="363"/>
      <c r="C19" s="245" t="s">
        <v>169</v>
      </c>
      <c r="D19" s="362"/>
      <c r="E19" s="127" t="str">
        <f>IF(E17="Tiesa","True",IF(E17="Netaikoma","Not applicable","False"))</f>
        <v>Not applicable</v>
      </c>
      <c r="F19" s="148" t="str">
        <f>IF(F17="Tiesa","True",IF(F17="Netaikoma","Not applicable","False"))</f>
        <v>Not applicable</v>
      </c>
    </row>
    <row r="20" spans="1:6" x14ac:dyDescent="0.25">
      <c r="A20" s="20"/>
      <c r="B20" s="355" t="s">
        <v>170</v>
      </c>
      <c r="C20" s="390" t="s">
        <v>287</v>
      </c>
      <c r="D20" s="360"/>
      <c r="E20" s="190" t="str">
        <f>IF(E6="Taip","Netaikoma", IF(OR(E8="Tiesa",E11="Tiesa",E14="Tiesa",E17="Tiesa"),"Taip","Ne"))</f>
        <v>Netaikoma</v>
      </c>
      <c r="F20" s="150" t="str">
        <f>IF(E6="Taip","Netaikoma", IF(OR(F8="Tiesa",F11="Tiesa",F14="Tiesa",F17="Tiesa"),"Taip","Ne"))</f>
        <v>Netaikoma</v>
      </c>
    </row>
    <row r="21" spans="1:6" ht="43.95" customHeight="1" x14ac:dyDescent="0.25">
      <c r="A21" s="20"/>
      <c r="B21" s="356"/>
      <c r="C21" s="391"/>
      <c r="D21" s="361"/>
      <c r="E21" s="191"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c r="F21" s="151"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row>
    <row r="22" spans="1:6" ht="21" customHeight="1" x14ac:dyDescent="0.25">
      <c r="A22" s="20"/>
      <c r="B22" s="356"/>
      <c r="C22" s="369" t="s">
        <v>171</v>
      </c>
      <c r="D22" s="361"/>
      <c r="E22" s="197" t="str">
        <f>IF(E20="Taip","Yes",IF(E20="Netaikoma","Not applicable","False"))</f>
        <v>Not applicable</v>
      </c>
      <c r="F22" s="152" t="str">
        <f>IF(F20="Taip","Yes",IF(F20="Netaikoma","Not applicable","False"))</f>
        <v>Not applicable</v>
      </c>
    </row>
    <row r="23" spans="1:6" ht="28.5" customHeight="1" thickBot="1" x14ac:dyDescent="0.3">
      <c r="A23" s="20"/>
      <c r="B23" s="357"/>
      <c r="C23" s="370"/>
      <c r="D23" s="392"/>
      <c r="E23" s="198" t="str">
        <f>IF($E$6="Taip","Exceptional circumstances",IF(J16="Yes",IF(E33=1,CONCATENATE("Condition ",J29,J30,J31,J32," is valid"),CONCATENATE("Conditions ", IF(E29=1,CONCATENATE(J29," "),""),IF(E30=1,CONCATENATE(J30," "),""),IF(E31=1,CONCATENATE(J31," "),""),IF(E32=1,CONCATENATE(J32," "),""),"are valid")),"None of the conditions is valid"))</f>
        <v>Exceptional circumstances</v>
      </c>
      <c r="F23" s="153" t="str">
        <f>IF($E$6="Taip","Exceptional circumstances",IF(J16="Yes",IF(E33=1,CONCATENATE("Condition ",J29,J30,J31,J32," is valid"),CONCATENATE("Conditions ", IF(E29=1,CONCATENATE(J29," "),""),IF(E30=1,CONCATENATE(J30," "),""),IF(E31=1,CONCATENATE(J31," "),""),IF(E32=1,CONCATENATE(J32," "),""),"are valid")),"None of the conditions is valid"))</f>
        <v>Exceptional circumstances</v>
      </c>
    </row>
    <row r="24" spans="1:6" ht="15.75" customHeight="1" thickTop="1" x14ac:dyDescent="0.25">
      <c r="A24" s="20"/>
      <c r="B24" s="20"/>
      <c r="C24" s="381" t="s">
        <v>172</v>
      </c>
      <c r="D24" s="381"/>
      <c r="E24" s="381"/>
      <c r="F24" s="381"/>
    </row>
    <row r="25" spans="1:6" ht="15.75" customHeight="1" x14ac:dyDescent="0.25">
      <c r="A25" s="20"/>
      <c r="B25" s="20"/>
      <c r="C25" s="397" t="s">
        <v>173</v>
      </c>
      <c r="D25" s="397"/>
      <c r="E25" s="397"/>
      <c r="F25" s="397"/>
    </row>
    <row r="26" spans="1:6" ht="14.4" thickBot="1" x14ac:dyDescent="0.3">
      <c r="A26" s="20"/>
      <c r="B26" s="20"/>
      <c r="C26" s="246" t="s">
        <v>174</v>
      </c>
      <c r="D26" s="247"/>
      <c r="E26" s="248"/>
      <c r="F26" s="248"/>
    </row>
    <row r="27" spans="1:6" ht="15" thickTop="1" thickBot="1" x14ac:dyDescent="0.3">
      <c r="A27" s="20"/>
      <c r="B27" s="20"/>
      <c r="C27" s="249" t="s">
        <v>175</v>
      </c>
      <c r="D27" s="250" t="s">
        <v>176</v>
      </c>
      <c r="E27" s="382">
        <v>2023</v>
      </c>
      <c r="F27" s="383"/>
    </row>
    <row r="28" spans="1:6" ht="14.4" thickBot="1" x14ac:dyDescent="0.3">
      <c r="A28" s="20"/>
      <c r="B28" s="20"/>
      <c r="C28" s="20"/>
      <c r="D28" s="250" t="s">
        <v>177</v>
      </c>
      <c r="E28" s="251">
        <f>'3. GGbudget'!F30</f>
        <v>-3.7576297497811977</v>
      </c>
      <c r="F28" s="252">
        <f>'3. GGbudget'!H30</f>
        <v>-4.1690956708536664</v>
      </c>
    </row>
    <row r="29" spans="1:6" ht="14.4" thickBot="1" x14ac:dyDescent="0.3">
      <c r="A29" s="20"/>
      <c r="B29" s="20"/>
      <c r="C29" s="20"/>
      <c r="D29" s="250" t="s">
        <v>178</v>
      </c>
      <c r="E29" s="251">
        <f>'3. GGbudget'!E30</f>
        <v>-1.8153397822214516</v>
      </c>
      <c r="F29" s="252">
        <f>'3. GGbudget'!G30</f>
        <v>-2.1911301301596735</v>
      </c>
    </row>
    <row r="30" spans="1:6" ht="14.4" thickBot="1" x14ac:dyDescent="0.3">
      <c r="A30" s="20"/>
      <c r="B30" s="20"/>
      <c r="C30" s="20"/>
      <c r="D30" s="250" t="s">
        <v>179</v>
      </c>
      <c r="E30" s="384">
        <f>'3. GGbudget'!F33</f>
        <v>-1</v>
      </c>
      <c r="F30" s="385"/>
    </row>
    <row r="31" spans="1:6" ht="14.4" thickBot="1" x14ac:dyDescent="0.3">
      <c r="A31" s="20"/>
      <c r="B31" s="20"/>
      <c r="C31" s="20"/>
      <c r="D31" s="250" t="s">
        <v>180</v>
      </c>
      <c r="E31" s="251">
        <f>'2. Macro'!M20</f>
        <v>-2.3820438270020339</v>
      </c>
      <c r="F31" s="252">
        <f>'2. Macro'!M19</f>
        <v>-1.4467282497743539</v>
      </c>
    </row>
    <row r="32" spans="1:6" ht="14.4" thickBot="1" x14ac:dyDescent="0.3">
      <c r="A32" s="20"/>
      <c r="B32" s="20"/>
      <c r="C32" s="20"/>
      <c r="D32" s="250" t="s">
        <v>181</v>
      </c>
      <c r="E32" s="388">
        <f>'3. GGbudget'!F34</f>
        <v>0</v>
      </c>
      <c r="F32" s="389"/>
    </row>
    <row r="33" spans="1:9" ht="15.6" thickTop="1" thickBot="1" x14ac:dyDescent="0.35">
      <c r="A33" s="20"/>
      <c r="B33" s="20"/>
      <c r="C33" s="20"/>
      <c r="D33" s="250" t="s">
        <v>47</v>
      </c>
      <c r="E33" s="20"/>
      <c r="F33" s="20"/>
      <c r="G33" s="47" t="s">
        <v>48</v>
      </c>
    </row>
    <row r="34" spans="1:9" ht="15.6" thickTop="1" thickBot="1" x14ac:dyDescent="0.35">
      <c r="A34" s="20"/>
      <c r="B34" s="20"/>
      <c r="C34" s="250"/>
      <c r="D34" s="250" t="s">
        <v>49</v>
      </c>
      <c r="E34" s="306" t="s">
        <v>23</v>
      </c>
      <c r="F34" s="307"/>
      <c r="G34" s="47" t="s">
        <v>50</v>
      </c>
    </row>
    <row r="35" spans="1:9" ht="15" thickBot="1" x14ac:dyDescent="0.35">
      <c r="A35" s="20"/>
      <c r="B35" s="20"/>
      <c r="C35" s="250"/>
      <c r="D35" s="250" t="s">
        <v>51</v>
      </c>
      <c r="E35" s="308" t="s">
        <v>24</v>
      </c>
      <c r="F35" s="309"/>
      <c r="G35" s="56" t="s">
        <v>52</v>
      </c>
    </row>
    <row r="36" spans="1:9" s="8" customFormat="1" ht="15" thickTop="1" x14ac:dyDescent="0.3">
      <c r="C36" s="29" t="s">
        <v>182</v>
      </c>
      <c r="D36" s="30" t="s">
        <v>183</v>
      </c>
      <c r="E36" s="42">
        <f>J13*1</f>
        <v>0</v>
      </c>
      <c r="F36" s="31"/>
    </row>
    <row r="37" spans="1:9" s="8" customFormat="1" ht="14.4" x14ac:dyDescent="0.3">
      <c r="C37" s="29" t="s">
        <v>184</v>
      </c>
      <c r="D37" s="30" t="s">
        <v>185</v>
      </c>
      <c r="E37" s="42">
        <f>J15*1</f>
        <v>0</v>
      </c>
      <c r="F37" s="31"/>
    </row>
    <row r="38" spans="1:9" s="8" customFormat="1" ht="14.4" x14ac:dyDescent="0.3">
      <c r="C38" s="29" t="s">
        <v>186</v>
      </c>
      <c r="D38" s="30" t="s">
        <v>187</v>
      </c>
      <c r="E38" s="42">
        <f>J17*1</f>
        <v>0</v>
      </c>
      <c r="F38" s="31"/>
      <c r="G38" s="32"/>
    </row>
    <row r="39" spans="1:9" s="8" customFormat="1" ht="14.4" x14ac:dyDescent="0.3">
      <c r="C39" s="29" t="s">
        <v>188</v>
      </c>
      <c r="D39" s="30" t="s">
        <v>189</v>
      </c>
      <c r="E39" s="42">
        <f>J19*1</f>
        <v>0</v>
      </c>
      <c r="F39" s="31"/>
      <c r="G39" s="32"/>
    </row>
    <row r="40" spans="1:9" s="8" customFormat="1" ht="14.4" x14ac:dyDescent="0.3">
      <c r="E40" s="42">
        <f>SUM(E36:E39)</f>
        <v>0</v>
      </c>
      <c r="F40" s="31"/>
    </row>
    <row r="41" spans="1:9" ht="14.4" x14ac:dyDescent="0.3">
      <c r="C41" s="10"/>
      <c r="D41" s="10"/>
      <c r="E41" s="43"/>
      <c r="F41" s="10"/>
      <c r="G41" s="8"/>
      <c r="H41" s="8"/>
      <c r="I41" s="8"/>
    </row>
    <row r="42" spans="1:9" x14ac:dyDescent="0.25">
      <c r="C42" s="10"/>
      <c r="D42" s="10"/>
      <c r="E42" s="10"/>
      <c r="F42" s="10"/>
      <c r="G42" s="8"/>
      <c r="H42" s="8"/>
      <c r="I42" s="8"/>
    </row>
    <row r="43" spans="1:9" x14ac:dyDescent="0.25">
      <c r="C43" s="12"/>
      <c r="D43" s="10"/>
      <c r="E43" s="10"/>
      <c r="F43" s="10"/>
    </row>
    <row r="44" spans="1:9" x14ac:dyDescent="0.25">
      <c r="C44" s="12"/>
      <c r="D44" s="10"/>
      <c r="E44" s="10"/>
      <c r="F44" s="10"/>
    </row>
    <row r="45" spans="1:9" x14ac:dyDescent="0.25">
      <c r="C45" s="12"/>
      <c r="D45" s="12"/>
      <c r="E45" s="12"/>
      <c r="F45" s="12"/>
    </row>
  </sheetData>
  <mergeCells count="31">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 ref="B11:B13"/>
    <mergeCell ref="B1:C1"/>
    <mergeCell ref="B3:F3"/>
    <mergeCell ref="E4:F4"/>
    <mergeCell ref="C8:C9"/>
    <mergeCell ref="D8:D10"/>
    <mergeCell ref="B8:B10"/>
    <mergeCell ref="B5:D5"/>
    <mergeCell ref="B6:B7"/>
    <mergeCell ref="B20:B23"/>
    <mergeCell ref="C17:C18"/>
    <mergeCell ref="D17:D19"/>
    <mergeCell ref="B17:B19"/>
    <mergeCell ref="C14:C15"/>
    <mergeCell ref="D14:D16"/>
    <mergeCell ref="B14:B16"/>
    <mergeCell ref="C22:C23"/>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theme="7"/>
  </sheetPr>
  <dimension ref="A1:J70"/>
  <sheetViews>
    <sheetView showGridLines="0" showRowColHeaders="0" zoomScaleNormal="100" workbookViewId="0">
      <selection activeCell="B1" sqref="B1:C1"/>
    </sheetView>
  </sheetViews>
  <sheetFormatPr defaultColWidth="10" defaultRowHeight="13.8" x14ac:dyDescent="0.25"/>
  <cols>
    <col min="1" max="1" width="3.6640625" style="1" customWidth="1"/>
    <col min="2" max="2" width="5.5546875" style="39" customWidth="1"/>
    <col min="3" max="3" width="100.6640625" style="1" customWidth="1"/>
    <col min="4" max="4" width="14.5546875" style="1" customWidth="1"/>
    <col min="5" max="5" width="25.44140625" style="1" customWidth="1"/>
    <col min="6" max="7" width="17" style="1" customWidth="1"/>
    <col min="8" max="8" width="12" style="1" customWidth="1"/>
    <col min="9" max="16384" width="10" style="1"/>
  </cols>
  <sheetData>
    <row r="1" spans="1:10" x14ac:dyDescent="0.25">
      <c r="A1" s="2"/>
      <c r="B1" s="404" t="s">
        <v>19</v>
      </c>
      <c r="C1" s="404"/>
    </row>
    <row r="2" spans="1:10" ht="14.4" thickBot="1" x14ac:dyDescent="0.3">
      <c r="A2" s="8" t="s">
        <v>20</v>
      </c>
    </row>
    <row r="3" spans="1:10" ht="39.75" customHeight="1" thickTop="1" thickBot="1" x14ac:dyDescent="0.3">
      <c r="B3" s="372" t="s">
        <v>285</v>
      </c>
      <c r="C3" s="373"/>
      <c r="D3" s="373"/>
      <c r="E3" s="373"/>
      <c r="F3" s="373"/>
      <c r="G3" s="374"/>
    </row>
    <row r="4" spans="1:10" ht="30" customHeight="1" thickBot="1" x14ac:dyDescent="0.3">
      <c r="B4" s="194" t="s">
        <v>190</v>
      </c>
      <c r="C4" s="259" t="s">
        <v>191</v>
      </c>
      <c r="D4" s="405" t="s">
        <v>154</v>
      </c>
      <c r="E4" s="406"/>
      <c r="F4" s="375" t="s">
        <v>155</v>
      </c>
      <c r="G4" s="376"/>
      <c r="H4" s="49"/>
    </row>
    <row r="5" spans="1:10" ht="33.75" customHeight="1" thickBot="1" x14ac:dyDescent="0.3">
      <c r="B5" s="377" t="s">
        <v>156</v>
      </c>
      <c r="C5" s="378"/>
      <c r="D5" s="378"/>
      <c r="E5" s="378"/>
      <c r="F5" s="193" t="s">
        <v>23</v>
      </c>
      <c r="G5" s="144" t="s">
        <v>24</v>
      </c>
      <c r="H5" s="5"/>
      <c r="I5" s="5"/>
      <c r="J5" s="5"/>
    </row>
    <row r="6" spans="1:10" ht="15" customHeight="1" x14ac:dyDescent="0.25">
      <c r="B6" s="379"/>
      <c r="C6" s="253" t="s">
        <v>157</v>
      </c>
      <c r="D6" s="395"/>
      <c r="E6" s="395"/>
      <c r="F6" s="386" t="str">
        <f t="shared" ref="F6" si="0">"Taip"</f>
        <v>Taip</v>
      </c>
      <c r="G6" s="387"/>
    </row>
    <row r="7" spans="1:10" ht="14.25" customHeight="1" thickBot="1" x14ac:dyDescent="0.3">
      <c r="B7" s="380"/>
      <c r="C7" s="254" t="s">
        <v>29</v>
      </c>
      <c r="D7" s="396"/>
      <c r="E7" s="396"/>
      <c r="F7" s="393" t="str">
        <f t="shared" ref="F7" si="1">"Yes"</f>
        <v>Yes</v>
      </c>
      <c r="G7" s="394"/>
    </row>
    <row r="8" spans="1:10" ht="30" customHeight="1" x14ac:dyDescent="0.25">
      <c r="B8" s="407" t="s">
        <v>302</v>
      </c>
      <c r="C8" s="364" t="s">
        <v>192</v>
      </c>
      <c r="D8" s="366"/>
      <c r="E8" s="366"/>
      <c r="F8" s="176" t="str">
        <f>IF(F51+eps&lt;AVERAGE('2. Macro'!G32:K32)+2,"Tiesa","Netiesa")</f>
        <v>Netiesa</v>
      </c>
      <c r="G8" s="154" t="str">
        <f>IF(F51+eps&lt;AVERAGE('2. Macro'!G32:K32)+2,"Tiesa","Netiesa")</f>
        <v>Netiesa</v>
      </c>
      <c r="H8" s="5"/>
      <c r="I8" s="5"/>
      <c r="J8" s="5"/>
    </row>
    <row r="9" spans="1:10" ht="19.5" customHeight="1" x14ac:dyDescent="0.25">
      <c r="B9" s="408"/>
      <c r="C9" s="365"/>
      <c r="D9" s="367"/>
      <c r="E9" s="367"/>
      <c r="F9" s="179" t="str">
        <f>CONCATENATE(FIXED(F51,1),IF(F8="Tiesa"," &lt; "," ≥ "),FIXED(AVERAGE('2. Macro'!G32:K32)+2,1))</f>
        <v>16,8 ≥ 5,0</v>
      </c>
      <c r="G9" s="155" t="str">
        <f>CONCATENATE(FIXED(G51,1),IF(G8="Tiesa"," &lt; "," ≥ "),FIXED(AVERAGE('2. Macro'!G32:K32)+2,1))</f>
        <v>16,8 ≥ 5,0</v>
      </c>
      <c r="H9" s="5"/>
      <c r="I9" s="5"/>
      <c r="J9" s="5"/>
    </row>
    <row r="10" spans="1:10" ht="34.5" customHeight="1" thickBot="1" x14ac:dyDescent="0.3">
      <c r="B10" s="409"/>
      <c r="C10" s="243" t="s">
        <v>193</v>
      </c>
      <c r="D10" s="368"/>
      <c r="E10" s="368"/>
      <c r="F10" s="187" t="str">
        <f>IF(F8="Tiesa","True","False")</f>
        <v>False</v>
      </c>
      <c r="G10" s="156" t="str">
        <f>IF(G8="Tiesa","True","False")</f>
        <v>False</v>
      </c>
      <c r="H10" s="5"/>
      <c r="I10" s="5"/>
      <c r="J10" s="5"/>
    </row>
    <row r="11" spans="1:10" ht="30" customHeight="1" thickBot="1" x14ac:dyDescent="0.3">
      <c r="B11" s="410" t="s">
        <v>303</v>
      </c>
      <c r="C11" s="419" t="s">
        <v>194</v>
      </c>
      <c r="D11" s="413" t="s">
        <v>272</v>
      </c>
      <c r="E11" s="413"/>
      <c r="F11" s="176" t="str">
        <f>IF('3. GGbudget'!F8&gt;='3. GGbudget'!E8+1,"Tiesa","Netiesa")</f>
        <v>Netiesa</v>
      </c>
      <c r="G11" s="154" t="str">
        <f>IF('3. GGbudget'!H8&gt;='3. GGbudget'!G8+1,"Tiesa","Netiesa")</f>
        <v>Netiesa</v>
      </c>
    </row>
    <row r="12" spans="1:10" ht="15" customHeight="1" thickBot="1" x14ac:dyDescent="0.3">
      <c r="B12" s="411"/>
      <c r="C12" s="420"/>
      <c r="D12" s="414"/>
      <c r="E12" s="414"/>
      <c r="F12" s="179" t="str">
        <f>CONCATENATE(FIXED('3. GGbudget'!F8-'3. GGbudget'!E8,1),IF(F11="Tiesa"," ≥ "," &lt; "),FIXED(1,1))</f>
        <v>-2,8 &lt; 1,0</v>
      </c>
      <c r="G12" s="155" t="str">
        <f>CONCATENATE(FIXED('3. GGbudget'!H8-'3. GGbudget'!G8,1),IF(G11="Tiesa"," ≥ "," &lt; "),FIXED(1,1))</f>
        <v>-3,0 &lt; 1,0</v>
      </c>
    </row>
    <row r="13" spans="1:10" ht="30" customHeight="1" thickBot="1" x14ac:dyDescent="0.3">
      <c r="B13" s="412"/>
      <c r="C13" s="260" t="s">
        <v>195</v>
      </c>
      <c r="D13" s="415"/>
      <c r="E13" s="415"/>
      <c r="F13" s="187" t="str">
        <f>IF(F11="Tiesa","True","False")</f>
        <v>False</v>
      </c>
      <c r="G13" s="156" t="str">
        <f>IF(G11="Tiesa","True","False")</f>
        <v>False</v>
      </c>
    </row>
    <row r="14" spans="1:10" ht="27.75" customHeight="1" thickBot="1" x14ac:dyDescent="0.3">
      <c r="B14" s="410" t="s">
        <v>304</v>
      </c>
      <c r="C14" s="419" t="s">
        <v>196</v>
      </c>
      <c r="D14" s="416"/>
      <c r="E14" s="416"/>
      <c r="F14" s="181" t="str">
        <f>IF(ROUND(AVERAGE('2. Macro'!G36:K36),1)&gt;=0.1,"Tiesa","Netiesa")</f>
        <v>Netiesa</v>
      </c>
      <c r="G14" s="157" t="str">
        <f>IF(ROUND(AVERAGE('2. Macro'!G35:K35),1)&gt;=0.1,"Tiesa","Netiesa")</f>
        <v>Netiesa</v>
      </c>
    </row>
    <row r="15" spans="1:10" ht="15" customHeight="1" thickBot="1" x14ac:dyDescent="0.3">
      <c r="B15" s="411"/>
      <c r="C15" s="420"/>
      <c r="D15" s="417"/>
      <c r="E15" s="417"/>
      <c r="F15" s="188" t="str">
        <f>CONCATENATE(FIXED(AVERAGE('2. Macro'!G36:K36),1),IF(F14="Tiesa"," ≥ "," &lt; "),FIXED(0.1,1))</f>
        <v>-1,3 &lt; 0,1</v>
      </c>
      <c r="G15" s="158" t="str">
        <f>CONCATENATE(FIXED(AVERAGE('2. Macro'!G35:K35),1),IF(G14="Tiesa"," ≥ "," &lt; "),FIXED(0.1,1))</f>
        <v>-1,3 &lt; 0,1</v>
      </c>
    </row>
    <row r="16" spans="1:10" ht="29.4" thickBot="1" x14ac:dyDescent="0.3">
      <c r="B16" s="412"/>
      <c r="C16" s="260" t="s">
        <v>197</v>
      </c>
      <c r="D16" s="418"/>
      <c r="E16" s="418"/>
      <c r="F16" s="189" t="str">
        <f>IF(F14="Tiesa","True","False")</f>
        <v>False</v>
      </c>
      <c r="G16" s="159" t="str">
        <f>IF(G14="Tiesa","True","False")</f>
        <v>False</v>
      </c>
    </row>
    <row r="17" spans="2:8" ht="51.75" customHeight="1" x14ac:dyDescent="0.25">
      <c r="B17" s="407" t="s">
        <v>305</v>
      </c>
      <c r="C17" s="419" t="s">
        <v>198</v>
      </c>
      <c r="D17" s="366" t="s">
        <v>268</v>
      </c>
      <c r="E17" s="366"/>
      <c r="F17" s="176" t="str">
        <f>IF(F57="", "Netaikoma",IF(ROUND(F58,1)&gt;=F57,"Tiesa","Netiesa"))</f>
        <v>Netaikoma</v>
      </c>
      <c r="G17" s="154" t="str">
        <f>IF(F57="", "Netaikoma",IF(ROUND(G58,1)&gt;=G57,"Tiesa","Netiesa"))</f>
        <v>Netaikoma</v>
      </c>
      <c r="H17" s="37"/>
    </row>
    <row r="18" spans="2:8" ht="18.75" customHeight="1" x14ac:dyDescent="0.25">
      <c r="B18" s="408"/>
      <c r="C18" s="420"/>
      <c r="D18" s="367"/>
      <c r="E18" s="367"/>
      <c r="F18" s="188" t="str">
        <f>IF(F17="Netaikoma","",CONCATENATE(FIXED(F58,1),IF(F14="Tiesa"," ≥ "," &lt; "),FIXED(F57,1)))</f>
        <v/>
      </c>
      <c r="G18" s="155" t="str">
        <f>IF(F17="Netaikoma","",CONCATENATE(FIXED(G58,1),IF(G14="Tiesa"," ≥ "," &lt; "),FIXED(G57,1)))</f>
        <v/>
      </c>
    </row>
    <row r="19" spans="2:8" ht="51.75" customHeight="1" thickBot="1" x14ac:dyDescent="0.3">
      <c r="B19" s="409"/>
      <c r="C19" s="243" t="s">
        <v>199</v>
      </c>
      <c r="D19" s="368"/>
      <c r="E19" s="368"/>
      <c r="F19" s="187" t="str">
        <f>IF(F17="Netaikoma","Not applicable",IF(F17="Tiesa","True","False"))</f>
        <v>Not applicable</v>
      </c>
      <c r="G19" s="156" t="str">
        <f>IF(F17="Netaikoma","Not applicable",IF(G17="Tiesa","True","False"))</f>
        <v>Not applicable</v>
      </c>
    </row>
    <row r="20" spans="2:8" ht="44.25" customHeight="1" x14ac:dyDescent="0.25">
      <c r="B20" s="407" t="s">
        <v>306</v>
      </c>
      <c r="C20" s="419" t="s">
        <v>200</v>
      </c>
      <c r="D20" s="366" t="s">
        <v>201</v>
      </c>
      <c r="E20" s="366"/>
      <c r="F20" s="176" t="str">
        <f>IF(F52+eps&lt;0,"Tiesa","Netiesa")</f>
        <v>Tiesa</v>
      </c>
      <c r="G20" s="154" t="str">
        <f>IF(G52+eps&lt;0,"Tiesa","Netiesa")</f>
        <v>Tiesa</v>
      </c>
    </row>
    <row r="21" spans="2:8" ht="20.25" customHeight="1" x14ac:dyDescent="0.25">
      <c r="B21" s="408"/>
      <c r="C21" s="420"/>
      <c r="D21" s="367"/>
      <c r="E21" s="367"/>
      <c r="F21" s="188" t="str">
        <f>CONCATENATE(FIXED(F52,1),IF(F20="Tiesa"," &lt; "," ≥ "),FIXED(0,1))</f>
        <v>-2,4 &lt; 0,0</v>
      </c>
      <c r="G21" s="155" t="str">
        <f>CONCATENATE(FIXED(G52,1),IF(G20="Tiesa"," &lt; "," ≥ "),FIXED(0,1))</f>
        <v>-1,4 &lt; 0,0</v>
      </c>
    </row>
    <row r="22" spans="2:8" ht="48" customHeight="1" thickBot="1" x14ac:dyDescent="0.3">
      <c r="B22" s="409"/>
      <c r="C22" s="243" t="s">
        <v>202</v>
      </c>
      <c r="D22" s="368"/>
      <c r="E22" s="368"/>
      <c r="F22" s="187" t="str">
        <f>IF(F20="Tiesa","True","False")</f>
        <v>True</v>
      </c>
      <c r="G22" s="156" t="str">
        <f>IF(G20="Tiesa","True","False")</f>
        <v>True</v>
      </c>
    </row>
    <row r="23" spans="2:8" ht="21.75" customHeight="1" x14ac:dyDescent="0.25">
      <c r="B23" s="355" t="s">
        <v>203</v>
      </c>
      <c r="C23" s="390" t="s">
        <v>292</v>
      </c>
      <c r="D23" s="395"/>
      <c r="E23" s="395"/>
      <c r="F23" s="190" t="str">
        <f>+IF((OR(F8="Tiesa",F11="Tiesa",F14="Tiesa",F20="Tiesa")),"Taip","Ne")</f>
        <v>Taip</v>
      </c>
      <c r="G23" s="150" t="str">
        <f>+IF((OR(G8="Tiesa",G11="Tiesa",G14="Tiesa",G20="Tiesa")),"Taip","Ne")</f>
        <v>Taip</v>
      </c>
      <c r="H23" s="33"/>
    </row>
    <row r="24" spans="2:8" ht="45.75" customHeight="1" x14ac:dyDescent="0.25">
      <c r="B24" s="356"/>
      <c r="C24" s="391"/>
      <c r="D24" s="422"/>
      <c r="E24" s="422"/>
      <c r="F24" s="191" t="str">
        <f>IF(F23="Taip",CONCATENATE("Susidaro ", IF(F64=1,CONCATENATE(H64," "),""),IF(F65=1,CONCATENATE(H65," "),""),IF(F66=1,CONCATENATE(H66," "),""),IF(F67=1,CONCATENATE(H67," "),""),IF(F68=1,CONCATENATE(H68," "),""),IF(F69=1,"aplinkybė","aplinkybės")),"Išimčių nėra")</f>
        <v>Susidaro A5 aplinkybė</v>
      </c>
      <c r="G24" s="151" t="str">
        <f>IF(G23="Taip",CONCATENATE("Susidaro ", IF(G64=1,CONCATENATE(I64," "),""),IF(G65=1,CONCATENATE(I65," "),""),IF(G66=1,CONCATENATE(I66," "),""),IF(G67=1,CONCATENATE(I67," "),""),IF(G68=1,CONCATENATE(I68," "),""),IF(G69=1,"aplinkybė","aplinkybės")),"Išimčių nėra")</f>
        <v>Susidaro A5 aplinkybė</v>
      </c>
    </row>
    <row r="25" spans="2:8" ht="18" customHeight="1" x14ac:dyDescent="0.25">
      <c r="B25" s="356"/>
      <c r="C25" s="369" t="s">
        <v>204</v>
      </c>
      <c r="D25" s="422"/>
      <c r="E25" s="422"/>
      <c r="F25" s="192" t="str">
        <f>IF(F23="Taip","Yes","No")</f>
        <v>Yes</v>
      </c>
      <c r="G25" s="160" t="str">
        <f>IF(G23="Taip","Yes","No")</f>
        <v>Yes</v>
      </c>
    </row>
    <row r="26" spans="2:8" ht="55.5" customHeight="1" thickBot="1" x14ac:dyDescent="0.3">
      <c r="B26" s="363"/>
      <c r="C26" s="423"/>
      <c r="D26" s="396"/>
      <c r="E26" s="396"/>
      <c r="F26" s="178" t="str">
        <f>IF(F25="Yes",CONCATENATE(IF(F69=1,"Escape clause ","Escape clauses "), IF(F64=1,CONCATENATE(H64," "),""),IF(F65=1,CONCATENATE(H65," "),""),IF(F66=1,CONCATENATE(H66," "),""),IF(F67=1,CONCATENATE(H67," "),""),IF(F68=1,CONCATENATE(H68," "),""),"emerge"),"No escape clauses emerge")</f>
        <v>Escape clause A5 emerge</v>
      </c>
      <c r="G26" s="161" t="str">
        <f>IF(G25="Yes",CONCATENATE(IF(G69=1,"Escape clause ","Escape clauses "), IF(G64=1,CONCATENATE(I64," "),""),IF(G65=1,CONCATENATE(I65," "),""),IF(G66=1,CONCATENATE(I66," "),""),IF(G67=1,CONCATENATE(I67," "),""),IF(G68=1,CONCATENATE(I68," "),""),"emerge"),"No escape clauses emerge")</f>
        <v>Escape clause A5 emerge</v>
      </c>
    </row>
    <row r="27" spans="2:8" ht="33.75" customHeight="1" thickBot="1" x14ac:dyDescent="0.3">
      <c r="B27" s="195" t="s">
        <v>288</v>
      </c>
      <c r="C27" s="196" t="s">
        <v>289</v>
      </c>
      <c r="D27" s="428" t="s">
        <v>290</v>
      </c>
      <c r="E27" s="429"/>
      <c r="F27" s="426" t="s">
        <v>291</v>
      </c>
      <c r="G27" s="427"/>
      <c r="H27" s="34"/>
    </row>
    <row r="28" spans="2:8" ht="32.25" customHeight="1" x14ac:dyDescent="0.25">
      <c r="B28" s="355" t="s">
        <v>307</v>
      </c>
      <c r="C28" s="421" t="s">
        <v>205</v>
      </c>
      <c r="D28" s="261"/>
      <c r="E28" s="262"/>
      <c r="F28" s="184" t="str">
        <f>IF((F23="Taip"),"",IF(AVERAGE('2. Macro'!G36:K36)+eps&lt;0,"Tiesa","Netiesa"))</f>
        <v/>
      </c>
      <c r="G28" s="162" t="str">
        <f>IF((G23="Taip"),"",IF(AVERAGE('2. Macro'!G35:K35)+eps&lt;0,"Tiesa","Netiesa"))</f>
        <v/>
      </c>
    </row>
    <row r="29" spans="2:8" ht="15.75" customHeight="1" x14ac:dyDescent="0.25">
      <c r="B29" s="356"/>
      <c r="C29" s="421"/>
      <c r="D29" s="102" t="s">
        <v>206</v>
      </c>
      <c r="E29" s="263"/>
      <c r="F29" s="128" t="str">
        <f>IF((F23="Taip"),"",CONCATENATE(FIXED(AVERAGE('2. Macro'!G36:K36),1),IF(F28="Tiesa"," &lt; "," ≥ "),FIXED(0,1)))</f>
        <v/>
      </c>
      <c r="G29" s="163" t="str">
        <f>IF((G23="Taip"),"",CONCATENATE(FIXED(AVERAGE('2. Macro'!G35:K35),1),IF(G28="Tiesa"," &lt; "," ≥ "),FIXED(0,1)))</f>
        <v/>
      </c>
    </row>
    <row r="30" spans="2:8" ht="18" customHeight="1" thickBot="1" x14ac:dyDescent="0.3">
      <c r="B30" s="356"/>
      <c r="C30" s="421"/>
      <c r="D30" s="102"/>
      <c r="E30" s="263"/>
      <c r="F30" s="185" t="str">
        <f>IF(F25="Yes","",IF(F28="Tiesa","True","False"))</f>
        <v/>
      </c>
      <c r="G30" s="164" t="str">
        <f>IF(G25="Yes","",IF(G28="Tiesa","True","False"))</f>
        <v/>
      </c>
    </row>
    <row r="31" spans="2:8" ht="24" customHeight="1" x14ac:dyDescent="0.25">
      <c r="B31" s="356"/>
      <c r="C31" s="421"/>
      <c r="D31" s="261"/>
      <c r="E31" s="262"/>
      <c r="F31" s="184" t="str">
        <f>IF(OR(F23="Taip",F28="Netiesa",F6="Taip"),"Netaikoma", IF(F53&lt;=(F54)*(0.5*F56),"Tenkinama","Netenkinama"))</f>
        <v>Netaikoma</v>
      </c>
      <c r="G31" s="162" t="str">
        <f>IF(OR(G23="Taip",G28="Netiesa",F6="Taip"),"Netaikoma", IF(G53&lt;=(G54)*(0.5*G56),"Tenkinama","Netenkinama"))</f>
        <v>Netaikoma</v>
      </c>
    </row>
    <row r="32" spans="2:8" ht="69" customHeight="1" x14ac:dyDescent="0.25">
      <c r="B32" s="356"/>
      <c r="C32" s="421"/>
      <c r="D32" s="102"/>
      <c r="E32" s="263"/>
      <c r="F32" s="128" t="str">
        <f>IF(F6="Taip", "Paskelbtos išskirtinės aplinkybės",IF(F23="Taip",IF(F69=1,"Susidarė viena iš KĮ numatytų netaikymo aplinkybių","Susidarė KĮ numatytos netaikymo aplinkybės"),CONCATENATE(ROUND(($G$39-F41)/($G$40-F42),3),IF(F31="Tiesa"," ≤ "," &gt; "), ROUND(0.5*F56,3))))</f>
        <v>Paskelbtos išskirtinės aplinkybės</v>
      </c>
      <c r="G32" s="165" t="str">
        <f>IF(F6="Taip", "Paskelbtos išskirtinės aplinkybės",IF(G23="Taip",IF(G69=1,"Susidarė viena iš KĮ numatytų netaikymo aplinkybių","Susidarė KĮ numatytos netaikymo aplinkybės"),CONCATENATE(ROUND(G55,3),IF(G31="Tenkinama"," ≤ "," &gt; "), ROUND(0.5*G56,3))))</f>
        <v>Paskelbtos išskirtinės aplinkybės</v>
      </c>
    </row>
    <row r="33" spans="2:8" ht="21" customHeight="1" x14ac:dyDescent="0.25">
      <c r="B33" s="356"/>
      <c r="C33" s="424" t="s">
        <v>207</v>
      </c>
      <c r="D33" s="102"/>
      <c r="E33" s="263"/>
      <c r="F33" s="186" t="str">
        <f>IF(F31="Netaikoma","Not applied",IF(F31="Tiesa","True","False"))</f>
        <v>Not applied</v>
      </c>
      <c r="G33" s="166" t="str">
        <f>IF(G31="Netaikoma","Not applied",IF(G31="Tenkinama","True","False"))</f>
        <v>Not applied</v>
      </c>
    </row>
    <row r="34" spans="2:8" ht="70.5" customHeight="1" thickBot="1" x14ac:dyDescent="0.3">
      <c r="B34" s="357"/>
      <c r="C34" s="425"/>
      <c r="D34" s="264"/>
      <c r="E34" s="265"/>
      <c r="F34" s="266" t="str">
        <f>IF(F7="Yes","Exceptional Circumstances",IF(F25="Yes",IF(F69=1,"CL escape clause emerged","CL escape clauses emerged"),""))</f>
        <v>Exceptional Circumstances</v>
      </c>
      <c r="G34" s="267" t="str">
        <f>IF(F7="Yes","Exceptional Circumstances",IF(G25="Yes",IF(G69=1,"CL escape clause emerged","CL escape clauses emerged"),""))</f>
        <v>Exceptional Circumstances</v>
      </c>
    </row>
    <row r="35" spans="2:8" ht="28.5" customHeight="1" thickTop="1" x14ac:dyDescent="0.25">
      <c r="B35" s="66"/>
      <c r="C35" s="381" t="s">
        <v>208</v>
      </c>
      <c r="D35" s="381"/>
      <c r="E35" s="381"/>
      <c r="F35" s="268"/>
      <c r="G35" s="268"/>
    </row>
    <row r="36" spans="2:8" ht="28.5" customHeight="1" x14ac:dyDescent="0.25">
      <c r="B36" s="66"/>
      <c r="C36" s="397" t="s">
        <v>266</v>
      </c>
      <c r="D36" s="397"/>
      <c r="E36" s="397"/>
      <c r="F36" s="269"/>
      <c r="G36" s="269"/>
    </row>
    <row r="37" spans="2:8" ht="18.75" customHeight="1" thickBot="1" x14ac:dyDescent="0.3">
      <c r="B37" s="66"/>
      <c r="C37" s="246" t="s">
        <v>209</v>
      </c>
      <c r="D37" s="270"/>
      <c r="E37" s="270"/>
      <c r="F37" s="269"/>
      <c r="G37" s="269"/>
    </row>
    <row r="38" spans="2:8" ht="15" customHeight="1" thickBot="1" x14ac:dyDescent="0.3">
      <c r="B38" s="66"/>
      <c r="C38" s="249" t="s">
        <v>210</v>
      </c>
      <c r="D38" s="268"/>
      <c r="E38" s="20"/>
      <c r="F38" s="400">
        <v>2023</v>
      </c>
      <c r="G38" s="400"/>
    </row>
    <row r="39" spans="2:8" ht="15" thickBot="1" x14ac:dyDescent="0.35">
      <c r="B39" s="66"/>
      <c r="C39" s="271"/>
      <c r="D39" s="268"/>
      <c r="E39" s="250" t="s">
        <v>211</v>
      </c>
      <c r="F39" s="272">
        <f>'3. GGbudget'!F21</f>
        <v>24388.179</v>
      </c>
      <c r="G39" s="273">
        <f>'3. GGbudget'!H21</f>
        <v>24388.179</v>
      </c>
      <c r="H39" s="64"/>
    </row>
    <row r="40" spans="2:8" ht="15" customHeight="1" thickBot="1" x14ac:dyDescent="0.35">
      <c r="B40" s="66"/>
      <c r="C40" s="268"/>
      <c r="D40" s="268"/>
      <c r="E40" s="250" t="s">
        <v>212</v>
      </c>
      <c r="F40" s="272">
        <f>'3. GGbudget'!E21</f>
        <v>22686.135999999999</v>
      </c>
      <c r="G40" s="273">
        <f>'3. GGbudget'!G21</f>
        <v>22686.135999999999</v>
      </c>
      <c r="H40" s="64"/>
    </row>
    <row r="41" spans="2:8" ht="14.4" thickBot="1" x14ac:dyDescent="0.3">
      <c r="B41" s="66"/>
      <c r="C41" s="268"/>
      <c r="D41" s="268"/>
      <c r="E41" s="250" t="s">
        <v>213</v>
      </c>
      <c r="F41" s="403">
        <v>3571.4349999999999</v>
      </c>
      <c r="G41" s="403"/>
      <c r="H41" s="40"/>
    </row>
    <row r="42" spans="2:8" ht="14.4" thickBot="1" x14ac:dyDescent="0.3">
      <c r="B42" s="66"/>
      <c r="C42" s="268"/>
      <c r="D42" s="268"/>
      <c r="E42" s="250" t="s">
        <v>214</v>
      </c>
      <c r="F42" s="403">
        <v>3457.1350000000002</v>
      </c>
      <c r="G42" s="403"/>
      <c r="H42" s="40"/>
    </row>
    <row r="43" spans="2:8" ht="14.4" thickBot="1" x14ac:dyDescent="0.3">
      <c r="B43" s="66"/>
      <c r="C43" s="247"/>
      <c r="D43" s="274"/>
      <c r="E43" s="250" t="s">
        <v>215</v>
      </c>
      <c r="F43" s="275">
        <f>'3. GGbudget'!F15</f>
        <v>29205.9</v>
      </c>
      <c r="G43" s="273">
        <f>'3. GGbudget'!H15</f>
        <v>29291.385439938105</v>
      </c>
      <c r="H43" s="40"/>
    </row>
    <row r="44" spans="2:8" ht="14.4" thickBot="1" x14ac:dyDescent="0.3">
      <c r="B44" s="66"/>
      <c r="C44" s="247"/>
      <c r="D44" s="274"/>
      <c r="E44" s="250" t="s">
        <v>216</v>
      </c>
      <c r="F44" s="275">
        <f>'3. GGbudget'!E15</f>
        <v>25296</v>
      </c>
      <c r="G44" s="273">
        <f>'3. GGbudget'!G15</f>
        <v>25279.587190049515</v>
      </c>
      <c r="H44" s="40"/>
    </row>
    <row r="45" spans="2:8" ht="14.4" thickBot="1" x14ac:dyDescent="0.3">
      <c r="B45" s="66"/>
      <c r="C45" s="247"/>
      <c r="D45" s="274"/>
      <c r="E45" s="250" t="s">
        <v>217</v>
      </c>
      <c r="F45" s="272">
        <f>'2. Macro'!K36-'2. Macro'!J36</f>
        <v>6.0697442002297217</v>
      </c>
      <c r="G45" s="276">
        <f>'2. Macro'!K35-'2. Macro'!J35</f>
        <v>6.0466577861077244</v>
      </c>
    </row>
    <row r="46" spans="2:8" ht="14.4" thickBot="1" x14ac:dyDescent="0.3">
      <c r="B46" s="66"/>
      <c r="C46" s="277"/>
      <c r="D46" s="274"/>
      <c r="E46" s="250" t="s">
        <v>218</v>
      </c>
      <c r="F46" s="272">
        <f>('2. Macro'!K36-'2. Macro'!J36)-('2. Macro'!J36-'2. Macro'!I36)</f>
        <v>13.616064938669648</v>
      </c>
      <c r="G46" s="276">
        <f>('2. Macro'!K35-'2. Macro'!J35)-('2. Macro'!J35-'2. Macro'!I35)</f>
        <v>13.555229525739641</v>
      </c>
    </row>
    <row r="47" spans="2:8" ht="14.4" thickBot="1" x14ac:dyDescent="0.3">
      <c r="B47" s="66"/>
      <c r="C47" s="278" t="s">
        <v>267</v>
      </c>
      <c r="D47" s="274"/>
      <c r="E47" s="278" t="s">
        <v>219</v>
      </c>
      <c r="F47" s="401">
        <v>1.0596162445695025</v>
      </c>
      <c r="G47" s="401"/>
    </row>
    <row r="48" spans="2:8" ht="15" customHeight="1" thickBot="1" x14ac:dyDescent="0.3">
      <c r="B48" s="66"/>
      <c r="C48" s="278" t="s">
        <v>278</v>
      </c>
      <c r="D48" s="274"/>
      <c r="E48" s="278" t="s">
        <v>220</v>
      </c>
      <c r="F48" s="401">
        <v>1.0600019325847603</v>
      </c>
      <c r="G48" s="401"/>
    </row>
    <row r="49" spans="2:9" ht="15" customHeight="1" thickBot="1" x14ac:dyDescent="0.3">
      <c r="B49" s="66"/>
      <c r="C49" s="278" t="s">
        <v>279</v>
      </c>
      <c r="D49" s="274"/>
      <c r="E49" s="278" t="s">
        <v>221</v>
      </c>
      <c r="F49" s="402">
        <v>1.02</v>
      </c>
      <c r="G49" s="402"/>
    </row>
    <row r="50" spans="2:9" ht="15" customHeight="1" thickBot="1" x14ac:dyDescent="0.3">
      <c r="B50" s="66"/>
      <c r="C50" s="278" t="s">
        <v>280</v>
      </c>
      <c r="D50" s="274"/>
      <c r="E50" s="278" t="s">
        <v>222</v>
      </c>
      <c r="F50" s="402">
        <v>1.03</v>
      </c>
      <c r="G50" s="402"/>
    </row>
    <row r="51" spans="2:9" ht="15" customHeight="1" thickBot="1" x14ac:dyDescent="0.35">
      <c r="B51" s="66"/>
      <c r="C51" s="279" t="s">
        <v>277</v>
      </c>
      <c r="D51" s="274"/>
      <c r="E51" s="278" t="s">
        <v>223</v>
      </c>
      <c r="F51" s="272">
        <v>16.8</v>
      </c>
      <c r="G51" s="276">
        <v>16.8</v>
      </c>
      <c r="H51" s="61"/>
    </row>
    <row r="52" spans="2:9" ht="15" customHeight="1" thickBot="1" x14ac:dyDescent="0.3">
      <c r="B52" s="66"/>
      <c r="C52" s="20"/>
      <c r="D52" s="274"/>
      <c r="E52" s="250" t="s">
        <v>224</v>
      </c>
      <c r="F52" s="272">
        <f>'2. Macro'!M20</f>
        <v>-2.3820438270020339</v>
      </c>
      <c r="G52" s="276">
        <f>'2. Macro'!M19</f>
        <v>-1.4467282497743539</v>
      </c>
    </row>
    <row r="53" spans="2:9" ht="15" customHeight="1" thickBot="1" x14ac:dyDescent="0.35">
      <c r="B53" s="66"/>
      <c r="C53" s="20"/>
      <c r="D53" s="250"/>
      <c r="E53" s="250" t="s">
        <v>225</v>
      </c>
      <c r="F53" s="280">
        <f>F39-F41</f>
        <v>20816.743999999999</v>
      </c>
      <c r="G53" s="280">
        <f>+G39-F41</f>
        <v>20816.743999999999</v>
      </c>
      <c r="H53" s="64"/>
      <c r="I53" s="61"/>
    </row>
    <row r="54" spans="2:9" ht="15" customHeight="1" thickBot="1" x14ac:dyDescent="0.35">
      <c r="B54" s="66"/>
      <c r="C54" s="20"/>
      <c r="D54" s="250"/>
      <c r="E54" s="250" t="s">
        <v>226</v>
      </c>
      <c r="F54" s="280">
        <f>F40-F42</f>
        <v>19229.000999999997</v>
      </c>
      <c r="G54" s="280">
        <f>+G40-$F$42</f>
        <v>19229.000999999997</v>
      </c>
      <c r="H54" s="40"/>
      <c r="I54" s="61"/>
    </row>
    <row r="55" spans="2:9" ht="15" customHeight="1" thickBot="1" x14ac:dyDescent="0.3">
      <c r="B55" s="66"/>
      <c r="C55" s="20"/>
      <c r="D55" s="250"/>
      <c r="E55" s="250" t="s">
        <v>227</v>
      </c>
      <c r="F55" s="280">
        <f>+(F53/F54-1)*100</f>
        <v>8.2570228167339721</v>
      </c>
      <c r="G55" s="280">
        <f>+(G53/G54-1)*100</f>
        <v>8.2570228167339721</v>
      </c>
      <c r="H55" s="40"/>
      <c r="I55" s="62"/>
    </row>
    <row r="56" spans="2:9" s="8" customFormat="1" ht="16.8" thickBot="1" x14ac:dyDescent="0.35">
      <c r="B56" s="66"/>
      <c r="C56" s="20"/>
      <c r="D56" s="250"/>
      <c r="E56" s="250" t="s">
        <v>228</v>
      </c>
      <c r="F56" s="280">
        <f>(POWER('2. Macro'!O16/'2. Macro'!E16,0.1)*POWER(PRODUCT(F47:F50),0.25)-1)*100</f>
        <v>7.4976038568123293</v>
      </c>
      <c r="G56" s="280">
        <f>(POWER('2. Macro'!O15/'2. Macro'!E15,0.1)*POWER(PRODUCT(F47:F50),0.25)-1)*100</f>
        <v>7.4016365014951679</v>
      </c>
      <c r="H56" s="40"/>
      <c r="I56" s="61"/>
    </row>
    <row r="57" spans="2:9" s="8" customFormat="1" ht="14.4" hidden="1" thickBot="1" x14ac:dyDescent="0.3">
      <c r="B57" s="66"/>
      <c r="C57" s="20"/>
      <c r="D57" s="250"/>
      <c r="E57" s="250" t="s">
        <v>269</v>
      </c>
      <c r="F57" s="281"/>
      <c r="G57" s="282"/>
      <c r="H57" s="62"/>
      <c r="I57" s="62"/>
    </row>
    <row r="58" spans="2:9" s="8" customFormat="1" ht="14.4" hidden="1" thickBot="1" x14ac:dyDescent="0.3">
      <c r="B58" s="66"/>
      <c r="C58" s="20"/>
      <c r="D58" s="250"/>
      <c r="E58" s="250" t="s">
        <v>270</v>
      </c>
      <c r="F58" s="283"/>
      <c r="G58" s="284"/>
      <c r="H58" s="62"/>
    </row>
    <row r="59" spans="2:9" s="8" customFormat="1" x14ac:dyDescent="0.25">
      <c r="B59" s="66"/>
      <c r="C59" s="20"/>
      <c r="D59" s="250"/>
      <c r="E59" s="250"/>
      <c r="F59" s="285"/>
      <c r="G59" s="285"/>
    </row>
    <row r="60" spans="2:9" s="8" customFormat="1" ht="15" thickBot="1" x14ac:dyDescent="0.35">
      <c r="B60" s="66"/>
      <c r="C60" s="20"/>
      <c r="D60" s="250"/>
      <c r="E60" s="250" t="s">
        <v>47</v>
      </c>
      <c r="F60" s="250"/>
      <c r="G60" s="286"/>
      <c r="H60" s="47" t="s">
        <v>48</v>
      </c>
    </row>
    <row r="61" spans="2:9" s="8" customFormat="1" ht="15" thickBot="1" x14ac:dyDescent="0.35">
      <c r="B61" s="66"/>
      <c r="C61" s="20"/>
      <c r="D61" s="250"/>
      <c r="E61" s="250" t="s">
        <v>49</v>
      </c>
      <c r="F61" s="398" t="s">
        <v>23</v>
      </c>
      <c r="G61" s="398"/>
      <c r="H61" s="47" t="s">
        <v>50</v>
      </c>
    </row>
    <row r="62" spans="2:9" s="8" customFormat="1" ht="15" thickBot="1" x14ac:dyDescent="0.35">
      <c r="B62" s="66"/>
      <c r="C62" s="20"/>
      <c r="D62" s="250"/>
      <c r="E62" s="250" t="s">
        <v>51</v>
      </c>
      <c r="F62" s="351" t="s">
        <v>24</v>
      </c>
      <c r="G62" s="351"/>
      <c r="H62" s="56" t="s">
        <v>52</v>
      </c>
    </row>
    <row r="63" spans="2:9" s="8" customFormat="1" ht="15" thickBot="1" x14ac:dyDescent="0.35">
      <c r="B63" s="66"/>
      <c r="C63" s="20"/>
      <c r="D63" s="250"/>
      <c r="E63" s="250" t="s">
        <v>229</v>
      </c>
      <c r="F63" s="399" t="s">
        <v>230</v>
      </c>
      <c r="G63" s="399"/>
      <c r="H63" s="47" t="s">
        <v>231</v>
      </c>
    </row>
    <row r="64" spans="2:9" s="8" customFormat="1" x14ac:dyDescent="0.25">
      <c r="B64" s="287"/>
      <c r="C64" s="258"/>
      <c r="D64" s="288" t="s">
        <v>232</v>
      </c>
      <c r="E64" s="288"/>
      <c r="F64" s="289">
        <f>IF(F8="Tiesa",1,0)</f>
        <v>0</v>
      </c>
      <c r="G64" s="289">
        <f>IF(G8="Tiesa",1,0)</f>
        <v>0</v>
      </c>
      <c r="H64" s="50" t="str">
        <f>IF(F64=1,$D64,"")</f>
        <v/>
      </c>
      <c r="I64" s="50" t="str">
        <f>IF(G64=1,$D64,"")</f>
        <v/>
      </c>
    </row>
    <row r="65" spans="2:9" x14ac:dyDescent="0.25">
      <c r="B65" s="287"/>
      <c r="C65" s="258"/>
      <c r="D65" s="288" t="s">
        <v>233</v>
      </c>
      <c r="E65" s="288"/>
      <c r="F65" s="289">
        <f>IF(F11="Tiesa",1,0)</f>
        <v>0</v>
      </c>
      <c r="G65" s="289">
        <f>IF(G11="Tiesa",1,0)</f>
        <v>0</v>
      </c>
      <c r="H65" s="50" t="str">
        <f t="shared" ref="H65:I68" si="2">IF(F65=1,$D65,"")</f>
        <v/>
      </c>
      <c r="I65" s="50" t="str">
        <f t="shared" si="2"/>
        <v/>
      </c>
    </row>
    <row r="66" spans="2:9" x14ac:dyDescent="0.25">
      <c r="B66" s="66"/>
      <c r="C66" s="290"/>
      <c r="D66" s="288" t="s">
        <v>234</v>
      </c>
      <c r="E66" s="288"/>
      <c r="F66" s="289">
        <f>IF(F14="Tiesa",1,0)</f>
        <v>0</v>
      </c>
      <c r="G66" s="289">
        <f>IF(G14="Tiesa",1,0)</f>
        <v>0</v>
      </c>
      <c r="H66" s="50" t="str">
        <f>IF(F66=1,$D66,"")</f>
        <v/>
      </c>
      <c r="I66" s="50" t="str">
        <f t="shared" si="2"/>
        <v/>
      </c>
    </row>
    <row r="67" spans="2:9" x14ac:dyDescent="0.25">
      <c r="D67" s="50" t="s">
        <v>235</v>
      </c>
      <c r="E67" s="50"/>
      <c r="F67" s="51">
        <f>IF(F17="Tiesa",1,0)</f>
        <v>0</v>
      </c>
      <c r="G67" s="51">
        <f>IF(G17="Tiesa",1,0)</f>
        <v>0</v>
      </c>
      <c r="H67" s="50" t="str">
        <f t="shared" si="2"/>
        <v/>
      </c>
      <c r="I67" s="50" t="str">
        <f t="shared" si="2"/>
        <v/>
      </c>
    </row>
    <row r="68" spans="2:9" x14ac:dyDescent="0.25">
      <c r="D68" s="50" t="s">
        <v>236</v>
      </c>
      <c r="E68" s="50"/>
      <c r="F68" s="51">
        <f>IF(F20="Tiesa",1,0)</f>
        <v>1</v>
      </c>
      <c r="G68" s="51">
        <f>IF(G20="Tiesa",1,0)</f>
        <v>1</v>
      </c>
      <c r="H68" s="50" t="str">
        <f t="shared" si="2"/>
        <v>A5</v>
      </c>
      <c r="I68" s="50" t="str">
        <f>IF(G68=1,$D68,"")</f>
        <v>A5</v>
      </c>
    </row>
    <row r="69" spans="2:9" x14ac:dyDescent="0.25">
      <c r="D69" s="45"/>
      <c r="E69" s="45"/>
      <c r="F69" s="51">
        <f>SUM(F64:F68)</f>
        <v>1</v>
      </c>
      <c r="G69" s="51">
        <f>SUM(G64:G68)</f>
        <v>1</v>
      </c>
      <c r="H69" s="45"/>
      <c r="I69" s="45"/>
    </row>
    <row r="70" spans="2:9" x14ac:dyDescent="0.25">
      <c r="D70" s="45"/>
      <c r="E70" s="45"/>
      <c r="F70" s="45"/>
      <c r="G70" s="45"/>
      <c r="H70" s="45"/>
      <c r="I70" s="45"/>
    </row>
  </sheetData>
  <mergeCells count="45">
    <mergeCell ref="B6:B7"/>
    <mergeCell ref="D6:E7"/>
    <mergeCell ref="F6:G6"/>
    <mergeCell ref="F7:G7"/>
    <mergeCell ref="B17:B19"/>
    <mergeCell ref="D17:E19"/>
    <mergeCell ref="C20:C21"/>
    <mergeCell ref="D20:E22"/>
    <mergeCell ref="B20:B22"/>
    <mergeCell ref="C17:C18"/>
    <mergeCell ref="F27:G27"/>
    <mergeCell ref="D27:E27"/>
    <mergeCell ref="C28:C32"/>
    <mergeCell ref="B23:B26"/>
    <mergeCell ref="D23:E26"/>
    <mergeCell ref="C23:C24"/>
    <mergeCell ref="C25:C26"/>
    <mergeCell ref="B28:B34"/>
    <mergeCell ref="C33:C34"/>
    <mergeCell ref="C36:E36"/>
    <mergeCell ref="C8:C9"/>
    <mergeCell ref="C35:E35"/>
    <mergeCell ref="B1:C1"/>
    <mergeCell ref="B3:G3"/>
    <mergeCell ref="D4:E4"/>
    <mergeCell ref="F4:G4"/>
    <mergeCell ref="D8:E10"/>
    <mergeCell ref="B8:B10"/>
    <mergeCell ref="B11:B13"/>
    <mergeCell ref="D11:E13"/>
    <mergeCell ref="B14:B16"/>
    <mergeCell ref="D14:E16"/>
    <mergeCell ref="C11:C12"/>
    <mergeCell ref="C14:C15"/>
    <mergeCell ref="B5:E5"/>
    <mergeCell ref="F61:G61"/>
    <mergeCell ref="F62:G62"/>
    <mergeCell ref="F63:G63"/>
    <mergeCell ref="F38:G38"/>
    <mergeCell ref="F48:G48"/>
    <mergeCell ref="F49:G49"/>
    <mergeCell ref="F50:G50"/>
    <mergeCell ref="F47:G47"/>
    <mergeCell ref="F41:G41"/>
    <mergeCell ref="F42:G42"/>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0"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17"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G11:G12</xm:sqref>
        </x14:conditionalFormatting>
        <x14:conditionalFormatting xmlns:xm="http://schemas.microsoft.com/office/excel/2006/main">
          <x14:cfRule type="iconSet" priority="16"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G14:G15</xm:sqref>
        </x14:conditionalFormatting>
        <x14:conditionalFormatting xmlns:xm="http://schemas.microsoft.com/office/excel/2006/main">
          <x14:cfRule type="iconSet" priority="15"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G20</xm:sqref>
        </x14:conditionalFormatting>
        <x14:conditionalFormatting xmlns:xm="http://schemas.microsoft.com/office/excel/2006/main">
          <x14:cfRule type="iconSet" priority="14"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8"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G13</xm:sqref>
        </x14:conditionalFormatting>
        <x14:conditionalFormatting xmlns:xm="http://schemas.microsoft.com/office/excel/2006/main">
          <x14:cfRule type="iconSet" priority="19"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F14:F15</xm:sqref>
        </x14:conditionalFormatting>
        <x14:conditionalFormatting xmlns:xm="http://schemas.microsoft.com/office/excel/2006/main">
          <x14:cfRule type="iconSet" priority="20"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xm:sqref>
        </x14:conditionalFormatting>
        <x14:conditionalFormatting xmlns:xm="http://schemas.microsoft.com/office/excel/2006/main">
          <x14:cfRule type="iconSet" priority="21"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F9:F10</xm:sqref>
        </x14:conditionalFormatting>
        <x14:conditionalFormatting xmlns:xm="http://schemas.microsoft.com/office/excel/2006/main">
          <x14:cfRule type="iconSet" priority="22"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F11:F13</xm:sqref>
        </x14:conditionalFormatting>
        <x14:conditionalFormatting xmlns:xm="http://schemas.microsoft.com/office/excel/2006/main">
          <x14:cfRule type="iconSet" priority="23"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F22:G22 G21</xm:sqref>
        </x14:conditionalFormatting>
        <x14:conditionalFormatting xmlns:xm="http://schemas.microsoft.com/office/excel/2006/main">
          <x14:cfRule type="iconSet" priority="11"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G8</xm:sqref>
        </x14:conditionalFormatting>
        <x14:conditionalFormatting xmlns:xm="http://schemas.microsoft.com/office/excel/2006/main">
          <x14:cfRule type="iconSet" priority="7"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F21</xm:sqref>
        </x14:conditionalFormatting>
        <x14:conditionalFormatting xmlns:xm="http://schemas.microsoft.com/office/excel/2006/main">
          <x14:cfRule type="iconSet" priority="4" id="{FF51D037-EB06-4BF3-8B74-3B0ADEDDC26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5" id="{8FA66A3C-9B93-4766-8B10-4D7BCF482E2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xm:sqref>
        </x14:conditionalFormatting>
        <x14:conditionalFormatting xmlns:xm="http://schemas.microsoft.com/office/excel/2006/main">
          <x14:cfRule type="iconSet" priority="3" id="{1A250BF7-AA6E-46D9-B5C4-D125B630174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 xmlns:xm="http://schemas.microsoft.com/office/excel/2006/main">
          <x14:cfRule type="iconSet" priority="1" id="{D6528875-3EA9-4A09-BDCE-C3A750504A2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G17</xm:sqref>
        </x14:conditionalFormatting>
        <x14:conditionalFormatting xmlns:xm="http://schemas.microsoft.com/office/excel/2006/main">
          <x14:cfRule type="iconSet" priority="2" id="{DA4118A7-23A0-4047-9FF0-1589B4EACD8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G18:G19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theme="7"/>
  </sheetPr>
  <dimension ref="A1:H42"/>
  <sheetViews>
    <sheetView showGridLines="0" showRowColHeaders="0" zoomScaleNormal="100" workbookViewId="0">
      <selection activeCell="B1" sqref="B1:C1"/>
    </sheetView>
  </sheetViews>
  <sheetFormatPr defaultColWidth="10" defaultRowHeight="13.8" x14ac:dyDescent="0.25"/>
  <cols>
    <col min="1" max="1" width="3.6640625" style="1" customWidth="1"/>
    <col min="2" max="2" width="4.44140625" style="1" customWidth="1"/>
    <col min="3" max="3" width="102" style="1" customWidth="1"/>
    <col min="4" max="4" width="28.33203125" style="1" customWidth="1"/>
    <col min="5" max="5" width="21.109375" style="1" customWidth="1"/>
    <col min="6" max="6" width="21.5546875" style="1" customWidth="1"/>
    <col min="7" max="16384" width="10" style="1"/>
  </cols>
  <sheetData>
    <row r="1" spans="1:8" x14ac:dyDescent="0.25">
      <c r="B1" s="404" t="s">
        <v>19</v>
      </c>
      <c r="C1" s="404"/>
      <c r="D1" s="2"/>
    </row>
    <row r="2" spans="1:8" ht="14.4" thickBot="1" x14ac:dyDescent="0.3">
      <c r="A2" s="8" t="s">
        <v>20</v>
      </c>
    </row>
    <row r="3" spans="1:8" ht="38.25" customHeight="1" thickTop="1" thickBot="1" x14ac:dyDescent="0.3">
      <c r="B3" s="372" t="s">
        <v>286</v>
      </c>
      <c r="C3" s="373"/>
      <c r="D3" s="373"/>
      <c r="E3" s="373"/>
      <c r="F3" s="374"/>
    </row>
    <row r="4" spans="1:8" ht="28.8" thickBot="1" x14ac:dyDescent="0.3">
      <c r="B4" s="210" t="s">
        <v>298</v>
      </c>
      <c r="C4" s="211" t="s">
        <v>299</v>
      </c>
      <c r="D4" s="211" t="s">
        <v>300</v>
      </c>
      <c r="E4" s="468" t="s">
        <v>301</v>
      </c>
      <c r="F4" s="469"/>
    </row>
    <row r="5" spans="1:8" ht="30" customHeight="1" thickBot="1" x14ac:dyDescent="0.3">
      <c r="B5" s="377" t="s">
        <v>156</v>
      </c>
      <c r="C5" s="378"/>
      <c r="D5" s="378"/>
      <c r="E5" s="174" t="s">
        <v>23</v>
      </c>
      <c r="F5" s="167" t="s">
        <v>24</v>
      </c>
    </row>
    <row r="6" spans="1:8" ht="104.25" customHeight="1" x14ac:dyDescent="0.25">
      <c r="B6" s="118" t="s">
        <v>294</v>
      </c>
      <c r="C6" s="291" t="s">
        <v>237</v>
      </c>
      <c r="D6" s="454" t="s">
        <v>238</v>
      </c>
      <c r="E6" s="126" t="s">
        <v>276</v>
      </c>
      <c r="F6" s="149" t="str">
        <f>E6</f>
        <v>Savivaldybių biudžetų atitiktis fiskalinės drausmės taisyklėms bus vertinama 2023 m. birželio mėn.</v>
      </c>
    </row>
    <row r="7" spans="1:8" ht="61.5" customHeight="1" thickBot="1" x14ac:dyDescent="0.3">
      <c r="B7" s="118"/>
      <c r="C7" s="115" t="s">
        <v>239</v>
      </c>
      <c r="D7" s="456"/>
      <c r="E7" s="127" t="s">
        <v>275</v>
      </c>
      <c r="F7" s="148" t="s">
        <v>275</v>
      </c>
      <c r="H7" s="24"/>
    </row>
    <row r="8" spans="1:8" ht="34.5" customHeight="1" thickBot="1" x14ac:dyDescent="0.3">
      <c r="B8" s="119"/>
      <c r="C8" s="457" t="s">
        <v>293</v>
      </c>
      <c r="D8" s="457"/>
      <c r="E8" s="175"/>
      <c r="F8" s="168"/>
    </row>
    <row r="9" spans="1:8" ht="29.25" customHeight="1" x14ac:dyDescent="0.25">
      <c r="A9" s="212"/>
      <c r="B9" s="356" t="s">
        <v>295</v>
      </c>
      <c r="C9" s="436" t="s">
        <v>259</v>
      </c>
      <c r="D9" s="454" t="s">
        <v>240</v>
      </c>
      <c r="E9" s="176" t="str">
        <f>IF(E32&gt;=0,"Tiesa","Netiesa")</f>
        <v>Tiesa</v>
      </c>
      <c r="F9" s="154" t="str">
        <f>IF(F32+eps&gt;=0,"Tiesa","Netiesa")</f>
        <v>Tiesa</v>
      </c>
    </row>
    <row r="10" spans="1:8" ht="29.25" customHeight="1" x14ac:dyDescent="0.25">
      <c r="A10" s="212"/>
      <c r="B10" s="356"/>
      <c r="C10" s="437"/>
      <c r="D10" s="455"/>
      <c r="E10" s="128" t="str">
        <f>CONCATENATE(FIXED(E32,1),IF(E32&gt;= 0," ≥ "," &lt; "),FIXED(0,1))</f>
        <v>0,1 ≥ 0,0</v>
      </c>
      <c r="F10" s="169" t="str">
        <f>CONCATENATE(FIXED(F32,1),IF(F32=eps&gt;= 0," ≥ "," &lt; "),FIXED(0,1))</f>
        <v>0,1 ≥ 0,0</v>
      </c>
    </row>
    <row r="11" spans="1:8" ht="35.25" customHeight="1" thickBot="1" x14ac:dyDescent="0.3">
      <c r="A11" s="212"/>
      <c r="B11" s="356"/>
      <c r="C11" s="117" t="s">
        <v>241</v>
      </c>
      <c r="D11" s="456"/>
      <c r="E11" s="127" t="str">
        <f>IF(E9="Tiesa","True","False")</f>
        <v>True</v>
      </c>
      <c r="F11" s="156" t="str">
        <f>IF(F9="Tiesa","True","False")</f>
        <v>True</v>
      </c>
    </row>
    <row r="12" spans="1:8" ht="21.75" customHeight="1" x14ac:dyDescent="0.25">
      <c r="A12" s="212"/>
      <c r="B12" s="356"/>
      <c r="C12" s="458" t="s">
        <v>242</v>
      </c>
      <c r="D12" s="459"/>
      <c r="E12" s="177" t="str">
        <f>IF(E9="Netiesa","Netenkinama","Tenkinama")</f>
        <v>Tenkinama</v>
      </c>
      <c r="F12" s="170" t="str">
        <f>IF(F9="Netiesa","Netenkinama","Tenkinama")</f>
        <v>Tenkinama</v>
      </c>
    </row>
    <row r="13" spans="1:8" ht="21.75" customHeight="1" thickBot="1" x14ac:dyDescent="0.3">
      <c r="A13" s="212"/>
      <c r="B13" s="363"/>
      <c r="C13" s="438" t="s">
        <v>243</v>
      </c>
      <c r="D13" s="439"/>
      <c r="E13" s="178" t="str">
        <f>IF(E12="Tenkinama","Valid","Invalid ")</f>
        <v>Valid</v>
      </c>
      <c r="F13" s="171" t="str">
        <f>IF(F12="Tenkinama","Valid","Invalid ")</f>
        <v>Valid</v>
      </c>
    </row>
    <row r="14" spans="1:8" ht="17.399999999999999" customHeight="1" x14ac:dyDescent="0.25">
      <c r="A14" s="212"/>
      <c r="B14" s="356" t="s">
        <v>296</v>
      </c>
      <c r="C14" s="440" t="s">
        <v>244</v>
      </c>
      <c r="D14" s="386" t="s">
        <v>245</v>
      </c>
      <c r="E14" s="176" t="str">
        <f>IF(E29+eps&lt;0, "Tiesa","Netiesa")</f>
        <v>Tiesa</v>
      </c>
      <c r="F14" s="154" t="str">
        <f>IF(F29+eps&lt;0,"Tiesa","Netiesa")</f>
        <v>Tiesa</v>
      </c>
    </row>
    <row r="15" spans="1:8" ht="38.25" customHeight="1" x14ac:dyDescent="0.25">
      <c r="A15" s="212"/>
      <c r="B15" s="356"/>
      <c r="C15" s="441"/>
      <c r="D15" s="442"/>
      <c r="E15" s="179" t="str">
        <f>CONCATENATE(FIXED(E29,1),IF(E29+eps&lt;0," &lt; "," ≥ "),FIXED(0,1))</f>
        <v>-2,4 &lt; 0,0</v>
      </c>
      <c r="F15" s="155" t="str">
        <f>CONCATENATE(FIXED(F29,1),IF(F29+eps&lt;0," &lt; "," ≥ "),FIXED(0,1))</f>
        <v>-1,4 &lt; 0,0</v>
      </c>
    </row>
    <row r="16" spans="1:8" ht="21" customHeight="1" thickBot="1" x14ac:dyDescent="0.3">
      <c r="A16" s="212"/>
      <c r="B16" s="356"/>
      <c r="C16" s="441"/>
      <c r="D16" s="442"/>
      <c r="E16" s="180" t="str">
        <f>IF(E14="Tiesa","True","False")</f>
        <v>True</v>
      </c>
      <c r="F16" s="172" t="str">
        <f>IF(F14="Tiesa","True","False")</f>
        <v>True</v>
      </c>
    </row>
    <row r="17" spans="1:8" ht="18.75" customHeight="1" x14ac:dyDescent="0.25">
      <c r="A17" s="212"/>
      <c r="B17" s="356"/>
      <c r="C17" s="445" t="s">
        <v>246</v>
      </c>
      <c r="D17" s="442" t="s">
        <v>247</v>
      </c>
      <c r="E17" s="181" t="str">
        <f>IF(OR((E29&gt;=0)*(E30&gt;=0),(E29&gt;=0)*(E30&gt;=E31)),"Tiesa","Netiesa")</f>
        <v>Netiesa</v>
      </c>
      <c r="F17" s="154" t="str">
        <f>IF(OR((F29&gt;=0)*(F30&gt;=0),(F29&gt;=0)*(F30&gt;=F31)),"Tiesa","Netiesa")</f>
        <v>Netiesa</v>
      </c>
    </row>
    <row r="18" spans="1:8" ht="47.25" customHeight="1" x14ac:dyDescent="0.25">
      <c r="A18" s="212"/>
      <c r="B18" s="356"/>
      <c r="C18" s="445"/>
      <c r="D18" s="442"/>
      <c r="E18" s="128" t="str">
        <f>CONCATENATE(FIXED(E29,1),,IF(E29&lt;0," &lt; "," ≥ "),FIXED(0,1), " &amp;
","(",
 FIXED(E30,1),IF(E30&gt;=E31," ≥ "," &lt; "), FIXED(E31,1), " arba / or ",FIXED(E30,1),IF(E30&lt;0," &lt; "," ≥ "),FIXED(0,1),")")</f>
        <v>-2,4 &lt; 0,0 &amp;
(0,6 &lt; 0,9 arba / or 0,6 ≥ 0,0)</v>
      </c>
      <c r="F18" s="155" t="str">
        <f>CONCATENATE(FIXED(F29,1),,IF(F29&lt;0," &lt; "," ≥ "),FIXED(0,1), " &amp;
","(", FIXED(F30,1),IF(F30&gt;=F31," ≥ "," &lt; "), FIXED(F31,1), " arba / or ",FIXED(F30,1),IF(F30&lt;0," &lt; "," ≥ "),FIXED(0,1),")")</f>
        <v>-1,4 &lt; 0,0 &amp;
(0,5 &lt; 0,7 arba / or 0,5 ≥ 0,0)</v>
      </c>
    </row>
    <row r="19" spans="1:8" ht="18" customHeight="1" thickBot="1" x14ac:dyDescent="0.3">
      <c r="A19" s="212"/>
      <c r="B19" s="356"/>
      <c r="C19" s="446"/>
      <c r="D19" s="447"/>
      <c r="E19" s="127" t="str">
        <f>IF(E17="Tiesa","True","False")</f>
        <v>False</v>
      </c>
      <c r="F19" s="148" t="str">
        <f>IF(F17="Tiesa","True","False")</f>
        <v>False</v>
      </c>
    </row>
    <row r="20" spans="1:8" ht="21" customHeight="1" x14ac:dyDescent="0.25">
      <c r="A20" s="212"/>
      <c r="B20" s="356"/>
      <c r="C20" s="460" t="s">
        <v>43</v>
      </c>
      <c r="D20" s="461"/>
      <c r="E20" s="177" t="str">
        <f>IF(OR(E14="Tiesa",E17="Tiesa"),"Tenkinama","Netenkinama")</f>
        <v>Tenkinama</v>
      </c>
      <c r="F20" s="170" t="str">
        <f>IF(OR(F14="Tiesa",F17="Tiesa"),"Tenkinama","Netenkinama")</f>
        <v>Tenkinama</v>
      </c>
    </row>
    <row r="21" spans="1:8" ht="21" customHeight="1" thickBot="1" x14ac:dyDescent="0.3">
      <c r="A21" s="212"/>
      <c r="B21" s="363"/>
      <c r="C21" s="443" t="s">
        <v>248</v>
      </c>
      <c r="D21" s="444"/>
      <c r="E21" s="178" t="str">
        <f>IF(E20="Tenkinama","Valid","Invalid ")</f>
        <v>Valid</v>
      </c>
      <c r="F21" s="171" t="str">
        <f>IF(F20="Tenkinama","Valid","Invalid ")</f>
        <v>Valid</v>
      </c>
    </row>
    <row r="22" spans="1:8" ht="101.25" customHeight="1" thickBot="1" x14ac:dyDescent="0.3">
      <c r="A22" s="212"/>
      <c r="B22" s="430" t="s">
        <v>297</v>
      </c>
      <c r="C22" s="292" t="s">
        <v>249</v>
      </c>
      <c r="D22" s="116" t="s">
        <v>250</v>
      </c>
      <c r="E22" s="126" t="str">
        <f>E6</f>
        <v>Savivaldybių biudžetų atitiktis fiskalinės drausmės taisyklėms bus vertinama 2023 m. birželio mėn.</v>
      </c>
      <c r="F22" s="149" t="str">
        <f>E22</f>
        <v>Savivaldybių biudžetų atitiktis fiskalinės drausmės taisyklėms bus vertinama 2023 m. birželio mėn.</v>
      </c>
    </row>
    <row r="23" spans="1:8" ht="64.5" customHeight="1" thickBot="1" x14ac:dyDescent="0.3">
      <c r="A23" s="212"/>
      <c r="B23" s="431"/>
      <c r="C23" s="450" t="s">
        <v>251</v>
      </c>
      <c r="D23" s="442" t="s">
        <v>252</v>
      </c>
      <c r="E23" s="466" t="str">
        <f>E7</f>
        <v>Will be assessed in June 2023</v>
      </c>
      <c r="F23" s="464" t="str">
        <f>F7</f>
        <v>Will be assessed in June 2023</v>
      </c>
    </row>
    <row r="24" spans="1:8" ht="42" customHeight="1" thickBot="1" x14ac:dyDescent="0.3">
      <c r="A24" s="212"/>
      <c r="B24" s="431"/>
      <c r="C24" s="451"/>
      <c r="D24" s="447"/>
      <c r="E24" s="467"/>
      <c r="F24" s="465"/>
    </row>
    <row r="25" spans="1:8" ht="19.5" customHeight="1" thickBot="1" x14ac:dyDescent="0.3">
      <c r="A25" s="212"/>
      <c r="B25" s="432"/>
      <c r="C25" s="448" t="s">
        <v>45</v>
      </c>
      <c r="D25" s="449"/>
      <c r="E25" s="182"/>
      <c r="F25" s="149"/>
    </row>
    <row r="26" spans="1:8" ht="19.5" customHeight="1" thickBot="1" x14ac:dyDescent="0.3">
      <c r="A26" s="212"/>
      <c r="B26" s="433"/>
      <c r="C26" s="434" t="s">
        <v>46</v>
      </c>
      <c r="D26" s="435"/>
      <c r="E26" s="183"/>
      <c r="F26" s="173"/>
    </row>
    <row r="27" spans="1:8" ht="15" thickTop="1" thickBot="1" x14ac:dyDescent="0.3">
      <c r="B27" s="20"/>
      <c r="C27" s="246" t="s">
        <v>253</v>
      </c>
      <c r="D27" s="293"/>
      <c r="E27" s="293"/>
      <c r="F27" s="293"/>
      <c r="H27" s="28"/>
    </row>
    <row r="28" spans="1:8" ht="15" thickTop="1" thickBot="1" x14ac:dyDescent="0.3">
      <c r="B28" s="20"/>
      <c r="C28" s="249" t="s">
        <v>254</v>
      </c>
      <c r="D28" s="250" t="s">
        <v>176</v>
      </c>
      <c r="E28" s="382">
        <v>2023</v>
      </c>
      <c r="F28" s="383"/>
      <c r="H28" s="28"/>
    </row>
    <row r="29" spans="1:8" ht="14.4" thickBot="1" x14ac:dyDescent="0.3">
      <c r="B29" s="20"/>
      <c r="C29" s="20"/>
      <c r="D29" s="250" t="s">
        <v>180</v>
      </c>
      <c r="E29" s="206">
        <f>'2. Macro'!M20</f>
        <v>-2.3820438270020339</v>
      </c>
      <c r="F29" s="207">
        <f>'2. Macro'!M19</f>
        <v>-1.4467282497743539</v>
      </c>
      <c r="H29" s="28"/>
    </row>
    <row r="30" spans="1:8" ht="16.8" thickBot="1" x14ac:dyDescent="0.3">
      <c r="B30" s="20"/>
      <c r="C30" s="20"/>
      <c r="D30" s="250" t="s">
        <v>255</v>
      </c>
      <c r="E30" s="206">
        <f>'3. GGbudget'!F31</f>
        <v>0.60239973884320897</v>
      </c>
      <c r="F30" s="207">
        <f>'3. GGbudget'!H31</f>
        <v>0.53548193294273883</v>
      </c>
      <c r="H30" s="28"/>
    </row>
    <row r="31" spans="1:8" ht="16.8" thickBot="1" x14ac:dyDescent="0.3">
      <c r="B31" s="20"/>
      <c r="C31" s="20"/>
      <c r="D31" s="250" t="s">
        <v>256</v>
      </c>
      <c r="E31" s="206">
        <f>'3. GGbudget'!E31</f>
        <v>0.86285276110383757</v>
      </c>
      <c r="F31" s="207">
        <f>'3. GGbudget'!G31</f>
        <v>0.74607471560157557</v>
      </c>
      <c r="G31" s="13"/>
      <c r="H31" s="28"/>
    </row>
    <row r="32" spans="1:8" ht="16.8" thickBot="1" x14ac:dyDescent="0.3">
      <c r="B32" s="20"/>
      <c r="C32" s="20"/>
      <c r="D32" s="250" t="s">
        <v>257</v>
      </c>
      <c r="E32" s="208">
        <f>'3. GGbudget'!F32</f>
        <v>0.10957401604209356</v>
      </c>
      <c r="F32" s="209">
        <f>'3. GGbudget'!H32</f>
        <v>6.6549499489620273E-2</v>
      </c>
      <c r="H32" s="6"/>
    </row>
    <row r="33" spans="2:8" ht="15.6" thickTop="1" thickBot="1" x14ac:dyDescent="0.35">
      <c r="B33" s="20"/>
      <c r="C33" s="20"/>
      <c r="D33" s="250" t="s">
        <v>47</v>
      </c>
      <c r="E33" s="250"/>
      <c r="F33" s="286"/>
      <c r="G33" s="41" t="s">
        <v>258</v>
      </c>
      <c r="H33" s="6"/>
    </row>
    <row r="34" spans="2:8" ht="15.6" thickTop="1" thickBot="1" x14ac:dyDescent="0.35">
      <c r="B34" s="20"/>
      <c r="C34" s="20"/>
      <c r="D34" s="250" t="s">
        <v>49</v>
      </c>
      <c r="E34" s="462" t="s">
        <v>23</v>
      </c>
      <c r="F34" s="463"/>
      <c r="G34" s="41" t="s">
        <v>50</v>
      </c>
      <c r="H34" s="6"/>
    </row>
    <row r="35" spans="2:8" ht="15" thickBot="1" x14ac:dyDescent="0.35">
      <c r="B35" s="20"/>
      <c r="C35" s="20"/>
      <c r="D35" s="250" t="s">
        <v>51</v>
      </c>
      <c r="E35" s="452" t="s">
        <v>24</v>
      </c>
      <c r="F35" s="453"/>
      <c r="G35" s="56" t="s">
        <v>52</v>
      </c>
    </row>
    <row r="36" spans="2:8" ht="14.4" thickTop="1" x14ac:dyDescent="0.25">
      <c r="B36" s="20"/>
      <c r="C36" s="20"/>
      <c r="D36" s="20"/>
      <c r="E36" s="250"/>
      <c r="F36" s="20"/>
    </row>
    <row r="37" spans="2:8" x14ac:dyDescent="0.25">
      <c r="B37" s="20"/>
      <c r="C37" s="20"/>
      <c r="D37" s="20"/>
      <c r="E37" s="250"/>
      <c r="F37" s="66"/>
    </row>
    <row r="38" spans="2:8" x14ac:dyDescent="0.25">
      <c r="B38" s="20"/>
      <c r="C38" s="20"/>
      <c r="D38" s="20"/>
      <c r="E38" s="250"/>
      <c r="F38" s="66"/>
    </row>
    <row r="39" spans="2:8" x14ac:dyDescent="0.25">
      <c r="B39" s="20"/>
      <c r="C39" s="20"/>
      <c r="D39" s="20"/>
      <c r="E39" s="20"/>
      <c r="F39" s="20"/>
    </row>
    <row r="40" spans="2:8" x14ac:dyDescent="0.25">
      <c r="B40" s="20"/>
      <c r="C40" s="20"/>
      <c r="D40" s="20"/>
      <c r="E40" s="20"/>
      <c r="F40" s="20"/>
    </row>
    <row r="41" spans="2:8" x14ac:dyDescent="0.25">
      <c r="B41" s="20"/>
      <c r="C41" s="20"/>
      <c r="D41" s="20"/>
      <c r="E41" s="20"/>
      <c r="F41" s="20"/>
    </row>
    <row r="42" spans="2:8" x14ac:dyDescent="0.25">
      <c r="B42" s="20"/>
      <c r="C42" s="20"/>
      <c r="D42" s="20"/>
      <c r="E42" s="20"/>
      <c r="F42" s="20"/>
    </row>
  </sheetData>
  <mergeCells count="28">
    <mergeCell ref="D6:D7"/>
    <mergeCell ref="B1:C1"/>
    <mergeCell ref="B3:F3"/>
    <mergeCell ref="E4:F4"/>
    <mergeCell ref="B5:D5"/>
    <mergeCell ref="E35:F35"/>
    <mergeCell ref="D9:D11"/>
    <mergeCell ref="C8:D8"/>
    <mergeCell ref="C12:D12"/>
    <mergeCell ref="C20:D20"/>
    <mergeCell ref="E34:F34"/>
    <mergeCell ref="E28:F28"/>
    <mergeCell ref="F23:F24"/>
    <mergeCell ref="E23:E24"/>
    <mergeCell ref="B22:B26"/>
    <mergeCell ref="C26:D26"/>
    <mergeCell ref="C9:C10"/>
    <mergeCell ref="C13:D13"/>
    <mergeCell ref="B9:B13"/>
    <mergeCell ref="C14:C16"/>
    <mergeCell ref="D14:D16"/>
    <mergeCell ref="C21:D21"/>
    <mergeCell ref="B14:B21"/>
    <mergeCell ref="C17:C19"/>
    <mergeCell ref="D17:D19"/>
    <mergeCell ref="C25:D25"/>
    <mergeCell ref="C23:C24"/>
    <mergeCell ref="D23:D24"/>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E17</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E9</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6" ma:contentTypeDescription="Kurkite naują dokumentą." ma:contentTypeScope="" ma:versionID="7d7ee03f3ab44c3ba676affb3dc5b36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2741d6f96dcd68b2ecec132194d4662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Props1.xml><?xml version="1.0" encoding="utf-8"?>
<ds:datastoreItem xmlns:ds="http://schemas.openxmlformats.org/officeDocument/2006/customXml" ds:itemID="{1ACAA6AE-DBC7-41BC-97E8-EB7A06FA3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80A987-4A38-4293-857B-392ED21F9808}">
  <ds:schemaRefs>
    <ds:schemaRef ds:uri="http://schemas.microsoft.com/sharepoint/v3/contenttype/forms"/>
  </ds:schemaRefs>
</ds:datastoreItem>
</file>

<file path=customXml/itemProps3.xml><?xml version="1.0" encoding="utf-8"?>
<ds:datastoreItem xmlns:ds="http://schemas.openxmlformats.org/officeDocument/2006/customXml" ds:itemID="{D082EF8B-66EA-4F82-A307-9453EED8E31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f9cdfa-f4fd-4645-9be5-758c49499792"/>
    <ds:schemaRef ds:uri="c102cb31-f5d5-4956-a0cb-1590ba36978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Content</vt:lpstr>
      <vt:lpstr>1. Summary</vt:lpstr>
      <vt:lpstr>2. Macro</vt:lpstr>
      <vt:lpstr>3. GGbudget</vt:lpstr>
      <vt:lpstr>4. SurplusGG</vt:lpstr>
      <vt:lpstr>5. GGexpenditure</vt:lpstr>
      <vt:lpstr>6. GGbudgets</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2022-10-28T05:00:55Z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Order">
    <vt:r8>15327300</vt:r8>
  </property>
  <property fmtid="{D5CDD505-2E9C-101B-9397-08002B2CF9AE}" pid="6" name="TriggerFlowInfo">
    <vt:lpwstr/>
  </property>
  <property fmtid="{D5CDD505-2E9C-101B-9397-08002B2CF9AE}" pid="7" name="MediaServiceImageTags">
    <vt:lpwstr/>
  </property>
</Properties>
</file>