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Šios_darbaknygės"/>
  <mc:AlternateContent xmlns:mc="http://schemas.openxmlformats.org/markup-compatibility/2006">
    <mc:Choice Requires="x15">
      <x15ac:absPath xmlns:x15ac="http://schemas.microsoft.com/office/spreadsheetml/2010/11/ac" url="C:\Users\vbindoriute\OneDrive - Lietuvos Respublikos valstybės kontrolė\Biudžeto stebėsenos departamentas\11 Isvados ir ataskaitos\Išvados 2022\4. Lietuvos stabilumo programa\06. Grafikai\"/>
    </mc:Choice>
  </mc:AlternateContent>
  <xr:revisionPtr revIDLastSave="78" documentId="13_ncr:1_{0E2D9851-E266-4C9D-A4C4-59DD4FBCE9B3}" xr6:coauthVersionLast="36" xr6:coauthVersionMax="47" xr10:uidLastSave="{407C4FCF-B59C-4370-90FB-A5C8A148ABFB}"/>
  <bookViews>
    <workbookView xWindow="0" yWindow="0" windowWidth="10236" windowHeight="6108"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s>
  <definedNames>
    <definedName name="eps">'2. Macro'!$D$48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4" l="1"/>
  <c r="H32" i="4"/>
  <c r="G32" i="4"/>
  <c r="G41" i="6" l="1"/>
  <c r="F41" i="6"/>
  <c r="G40" i="6"/>
  <c r="F40" i="6"/>
  <c r="F36" i="6"/>
  <c r="F64" i="6" l="1"/>
  <c r="F60" i="6"/>
  <c r="H30" i="4"/>
  <c r="G30" i="4"/>
  <c r="E30" i="4"/>
  <c r="H22" i="4"/>
  <c r="F14" i="7" l="1"/>
  <c r="E14" i="7"/>
  <c r="F15" i="7"/>
  <c r="E15" i="7"/>
  <c r="E10" i="7"/>
  <c r="E9" i="7"/>
  <c r="G6" i="4" l="1"/>
  <c r="E6" i="4"/>
  <c r="G59" i="6" l="1"/>
  <c r="M20" i="3" l="1"/>
  <c r="E29" i="7" s="1"/>
  <c r="G24" i="6" l="1"/>
  <c r="G53" i="6"/>
  <c r="G52" i="6"/>
  <c r="E21" i="4"/>
  <c r="H7" i="4" l="1"/>
  <c r="D31" i="3" l="1"/>
  <c r="G15" i="6" l="1"/>
  <c r="G64" i="6"/>
  <c r="F59" i="6"/>
  <c r="F24" i="6" s="1"/>
  <c r="G9" i="4"/>
  <c r="H9" i="4"/>
  <c r="H5" i="4" l="1"/>
  <c r="G5" i="4"/>
  <c r="E36" i="3"/>
  <c r="L17" i="3"/>
  <c r="L18" i="3"/>
  <c r="L19" i="3"/>
  <c r="L21" i="3" s="1"/>
  <c r="L20" i="3"/>
  <c r="L22" i="3" s="1"/>
  <c r="L27" i="3"/>
  <c r="L28" i="3"/>
  <c r="L33" i="3"/>
  <c r="L36" i="3"/>
  <c r="L37" i="3"/>
  <c r="L24" i="3" l="1"/>
  <c r="E31" i="4" s="1"/>
  <c r="L26" i="3"/>
  <c r="E32" i="4" s="1"/>
  <c r="L23" i="3"/>
  <c r="G31" i="4" s="1"/>
  <c r="L25" i="3"/>
  <c r="F23" i="7" l="1"/>
  <c r="E23" i="7"/>
  <c r="F7" i="7"/>
  <c r="F22" i="7"/>
  <c r="E22" i="7"/>
  <c r="F6" i="7"/>
  <c r="L13" i="3" l="1"/>
  <c r="L14" i="3"/>
  <c r="M14" i="3"/>
  <c r="M13" i="3"/>
  <c r="F13" i="3"/>
  <c r="M10" i="3"/>
  <c r="M9" i="3"/>
  <c r="G9" i="3"/>
  <c r="H9" i="3"/>
  <c r="I9" i="3"/>
  <c r="J9" i="3"/>
  <c r="K9" i="3"/>
  <c r="L9" i="3"/>
  <c r="G10" i="3"/>
  <c r="H10" i="3"/>
  <c r="I10" i="3"/>
  <c r="J10" i="3"/>
  <c r="K10" i="3"/>
  <c r="L10" i="3"/>
  <c r="F10" i="3"/>
  <c r="F9" i="3"/>
  <c r="N5" i="3" l="1"/>
  <c r="F21" i="4" l="1"/>
  <c r="F46" i="6" l="1"/>
  <c r="F61" i="6" s="1"/>
  <c r="M36" i="3" l="1"/>
  <c r="H17" i="3" l="1"/>
  <c r="E19" i="3"/>
  <c r="M28" i="3" l="1"/>
  <c r="M19" i="3"/>
  <c r="M21" i="3" s="1"/>
  <c r="M17" i="3"/>
  <c r="E7" i="5" l="1"/>
  <c r="C12" i="2" s="1"/>
  <c r="E6" i="5"/>
  <c r="C11" i="2" s="1"/>
  <c r="D26" i="3"/>
  <c r="D39" i="3" s="1"/>
  <c r="K20" i="3" l="1"/>
  <c r="F73" i="6" l="1"/>
  <c r="F7" i="4" l="1"/>
  <c r="K26" i="3" l="1"/>
  <c r="F50" i="6" l="1"/>
  <c r="D26" i="2" l="1"/>
  <c r="D25" i="2"/>
  <c r="C26" i="2"/>
  <c r="C25" i="2"/>
  <c r="D32" i="2"/>
  <c r="D31" i="2"/>
  <c r="C32" i="2"/>
  <c r="C31" i="2"/>
  <c r="H73" i="6" l="1"/>
  <c r="G19" i="6" l="1"/>
  <c r="G18" i="6"/>
  <c r="G73" i="6" s="1"/>
  <c r="I73" i="6" s="1"/>
  <c r="E21" i="5" l="1"/>
  <c r="F23" i="5"/>
  <c r="E23" i="5"/>
  <c r="F21" i="5"/>
  <c r="F20" i="5"/>
  <c r="E20" i="5"/>
  <c r="D10" i="2" l="1"/>
  <c r="C10" i="2"/>
  <c r="E36" i="5"/>
  <c r="E39" i="5"/>
  <c r="E38" i="5"/>
  <c r="E37" i="5"/>
  <c r="F22" i="5"/>
  <c r="D9" i="2" s="1"/>
  <c r="E32" i="5"/>
  <c r="E30" i="5"/>
  <c r="F18" i="5" l="1"/>
  <c r="E18" i="5"/>
  <c r="E17" i="5"/>
  <c r="E19" i="5" s="1"/>
  <c r="F17" i="5"/>
  <c r="F19" i="5" s="1"/>
  <c r="E40" i="5"/>
  <c r="D7" i="2"/>
  <c r="C8" i="2" l="1"/>
  <c r="D8" i="2"/>
  <c r="E22" i="5"/>
  <c r="C9" i="2" s="1"/>
  <c r="C7" i="2"/>
  <c r="F51" i="6" l="1"/>
  <c r="F29" i="7" l="1"/>
  <c r="G20" i="6" l="1"/>
  <c r="G21" i="6" s="1"/>
  <c r="G22" i="6" l="1"/>
  <c r="G74" i="6"/>
  <c r="I74" i="6" s="1"/>
  <c r="H29" i="4" l="1"/>
  <c r="G29" i="4"/>
  <c r="F47" i="6" l="1"/>
  <c r="F62" i="6" s="1"/>
  <c r="F63" i="6" s="1"/>
  <c r="F23" i="6" l="1"/>
  <c r="G23" i="4"/>
  <c r="F25" i="6" l="1"/>
  <c r="H19" i="4"/>
  <c r="G19" i="4"/>
  <c r="H17" i="4"/>
  <c r="G17" i="4"/>
  <c r="H15" i="4"/>
  <c r="G50" i="6" s="1"/>
  <c r="G15" i="4"/>
  <c r="G51" i="6" s="1"/>
  <c r="H13" i="4"/>
  <c r="G13" i="4"/>
  <c r="H11" i="4"/>
  <c r="G11" i="4"/>
  <c r="H21" i="4" l="1"/>
  <c r="G21" i="4"/>
  <c r="G47" i="6" s="1"/>
  <c r="G62" i="6" s="1"/>
  <c r="G46" i="6"/>
  <c r="G61" i="6" s="1"/>
  <c r="G7" i="4"/>
  <c r="H6" i="4"/>
  <c r="H10" i="4" s="1"/>
  <c r="G20" i="4"/>
  <c r="F6" i="4"/>
  <c r="E24" i="4"/>
  <c r="E7" i="4"/>
  <c r="M37" i="3"/>
  <c r="K37" i="3"/>
  <c r="J37" i="3"/>
  <c r="I37" i="3"/>
  <c r="H37" i="3"/>
  <c r="G37" i="3"/>
  <c r="F37" i="3"/>
  <c r="E37" i="3"/>
  <c r="D37" i="3"/>
  <c r="K36" i="3"/>
  <c r="J36" i="3"/>
  <c r="I36" i="3"/>
  <c r="H36" i="3"/>
  <c r="G36" i="3"/>
  <c r="F36" i="3"/>
  <c r="D36" i="3"/>
  <c r="M33" i="3"/>
  <c r="K33" i="3"/>
  <c r="J33" i="3"/>
  <c r="I33" i="3"/>
  <c r="H33" i="3"/>
  <c r="G33" i="3"/>
  <c r="F33" i="3"/>
  <c r="D33" i="3"/>
  <c r="D30" i="3"/>
  <c r="D29" i="3"/>
  <c r="K28" i="3"/>
  <c r="J28" i="3"/>
  <c r="I28" i="3"/>
  <c r="H28" i="3"/>
  <c r="G28" i="3"/>
  <c r="F28" i="3"/>
  <c r="E28" i="3"/>
  <c r="D28" i="3"/>
  <c r="M27" i="3"/>
  <c r="K27" i="3"/>
  <c r="L29" i="3" s="1"/>
  <c r="J27" i="3"/>
  <c r="I27" i="3"/>
  <c r="H27" i="3"/>
  <c r="G27" i="3"/>
  <c r="F27" i="3"/>
  <c r="E27" i="3"/>
  <c r="D27" i="3"/>
  <c r="D40" i="3"/>
  <c r="D25" i="3"/>
  <c r="D24" i="3"/>
  <c r="D23" i="3"/>
  <c r="D22" i="3"/>
  <c r="D21" i="3"/>
  <c r="J20" i="3"/>
  <c r="J26" i="3" s="1"/>
  <c r="I20" i="3"/>
  <c r="I24" i="3" s="1"/>
  <c r="H20" i="3"/>
  <c r="H24" i="3" s="1"/>
  <c r="G20" i="3"/>
  <c r="G24" i="3" s="1"/>
  <c r="F20" i="3"/>
  <c r="F24" i="3" s="1"/>
  <c r="E20" i="3"/>
  <c r="E24" i="3" s="1"/>
  <c r="D20" i="3"/>
  <c r="M25" i="3"/>
  <c r="K19" i="3"/>
  <c r="J19" i="3"/>
  <c r="J23" i="3" s="1"/>
  <c r="I19" i="3"/>
  <c r="I23" i="3" s="1"/>
  <c r="H19" i="3"/>
  <c r="H23" i="3" s="1"/>
  <c r="G19" i="3"/>
  <c r="G23" i="3" s="1"/>
  <c r="F19" i="3"/>
  <c r="F23" i="3" s="1"/>
  <c r="E23" i="3"/>
  <c r="D19" i="3"/>
  <c r="M18" i="3"/>
  <c r="K18" i="3"/>
  <c r="J18" i="3"/>
  <c r="I18" i="3"/>
  <c r="H18" i="3"/>
  <c r="G18" i="3"/>
  <c r="F18" i="3"/>
  <c r="D18" i="3"/>
  <c r="K17" i="3"/>
  <c r="J17" i="3"/>
  <c r="I17" i="3"/>
  <c r="G17" i="3"/>
  <c r="F17" i="3"/>
  <c r="D17" i="3"/>
  <c r="K14" i="3"/>
  <c r="J14" i="3"/>
  <c r="I14" i="3"/>
  <c r="H14" i="3"/>
  <c r="G14" i="3"/>
  <c r="F14" i="3"/>
  <c r="D14" i="3"/>
  <c r="K13" i="3"/>
  <c r="J13" i="3"/>
  <c r="I13" i="3"/>
  <c r="H13" i="3"/>
  <c r="G13" i="3"/>
  <c r="D13" i="3"/>
  <c r="D12" i="3"/>
  <c r="D11" i="3"/>
  <c r="D10" i="3"/>
  <c r="D9" i="3"/>
  <c r="F5" i="3"/>
  <c r="G5" i="3" s="1"/>
  <c r="H5" i="3" s="1"/>
  <c r="I5" i="3" s="1"/>
  <c r="J5" i="3" s="1"/>
  <c r="K5" i="3" s="1"/>
  <c r="L5" i="3" s="1"/>
  <c r="F53" i="6" l="1"/>
  <c r="F52" i="6"/>
  <c r="F15" i="6"/>
  <c r="F16" i="6" s="1"/>
  <c r="G16" i="6"/>
  <c r="G23" i="6"/>
  <c r="M30" i="3"/>
  <c r="L30" i="3"/>
  <c r="F6" i="6"/>
  <c r="F7" i="6" s="1"/>
  <c r="M29" i="3"/>
  <c r="F24" i="4"/>
  <c r="F8" i="4"/>
  <c r="G63" i="6"/>
  <c r="F29" i="3"/>
  <c r="J29" i="3"/>
  <c r="I30" i="3"/>
  <c r="F17" i="6"/>
  <c r="K21" i="3"/>
  <c r="K23" i="3"/>
  <c r="G6" i="6"/>
  <c r="G7" i="6" s="1"/>
  <c r="M26" i="3"/>
  <c r="M24" i="3"/>
  <c r="M22" i="3"/>
  <c r="H18" i="4"/>
  <c r="H24" i="4"/>
  <c r="H12" i="4"/>
  <c r="G10" i="4"/>
  <c r="E26" i="4"/>
  <c r="H29" i="3"/>
  <c r="G30" i="3"/>
  <c r="K30" i="3"/>
  <c r="E8" i="4"/>
  <c r="F18" i="4"/>
  <c r="F10" i="4"/>
  <c r="E22" i="4"/>
  <c r="E18" i="4"/>
  <c r="F26" i="4"/>
  <c r="H8" i="4"/>
  <c r="E10" i="4"/>
  <c r="E20" i="4"/>
  <c r="E28" i="4"/>
  <c r="F12" i="4"/>
  <c r="F20" i="4"/>
  <c r="F28" i="4"/>
  <c r="G16" i="4"/>
  <c r="G26" i="4"/>
  <c r="H14" i="4"/>
  <c r="H26" i="4"/>
  <c r="G8" i="4"/>
  <c r="G24" i="4"/>
  <c r="G22" i="4"/>
  <c r="E14" i="4"/>
  <c r="E12" i="4"/>
  <c r="F14" i="4"/>
  <c r="F22" i="4"/>
  <c r="G18" i="4"/>
  <c r="G28" i="4"/>
  <c r="H16" i="4"/>
  <c r="H28" i="4"/>
  <c r="G14" i="4"/>
  <c r="G29" i="3"/>
  <c r="E16" i="4"/>
  <c r="F16" i="4"/>
  <c r="G12" i="4"/>
  <c r="H20" i="4"/>
  <c r="F30" i="3"/>
  <c r="J30" i="3"/>
  <c r="K29" i="3"/>
  <c r="I29" i="3"/>
  <c r="H30" i="3"/>
  <c r="Q5" i="3"/>
  <c r="P5" i="3"/>
  <c r="O5" i="3"/>
  <c r="G21" i="3"/>
  <c r="I22" i="3"/>
  <c r="H21" i="3"/>
  <c r="F22" i="3"/>
  <c r="J22" i="3"/>
  <c r="M23" i="3"/>
  <c r="J24" i="3"/>
  <c r="J25" i="3"/>
  <c r="E22" i="3"/>
  <c r="E21" i="3"/>
  <c r="I21" i="3"/>
  <c r="G22" i="3"/>
  <c r="K22" i="3"/>
  <c r="K24" i="3"/>
  <c r="K25" i="3"/>
  <c r="F21" i="3"/>
  <c r="J21" i="3"/>
  <c r="H22" i="3"/>
  <c r="G12" i="6" l="1"/>
  <c r="F12" i="6"/>
  <c r="F14" i="6" s="1"/>
  <c r="E29" i="5"/>
  <c r="G25" i="6"/>
  <c r="F72" i="6"/>
  <c r="H72" i="6" s="1"/>
  <c r="E28" i="5"/>
  <c r="H31" i="4"/>
  <c r="F30" i="7" s="1"/>
  <c r="F29" i="5"/>
  <c r="G72" i="6"/>
  <c r="I72" i="6" s="1"/>
  <c r="G17" i="6"/>
  <c r="F31" i="4"/>
  <c r="E30" i="7" s="1"/>
  <c r="F20" i="6"/>
  <c r="F70" i="6"/>
  <c r="F8" i="6"/>
  <c r="E31" i="7"/>
  <c r="F28" i="5"/>
  <c r="F31" i="7"/>
  <c r="F17" i="7" s="1"/>
  <c r="G70" i="6"/>
  <c r="G8" i="6"/>
  <c r="G9" i="6"/>
  <c r="G10" i="6" s="1"/>
  <c r="F9" i="6"/>
  <c r="F10" i="6" s="1"/>
  <c r="F32" i="7"/>
  <c r="F32" i="4"/>
  <c r="E32" i="7" s="1"/>
  <c r="F16" i="7"/>
  <c r="F10" i="7" l="1"/>
  <c r="F9" i="7"/>
  <c r="F12" i="7" s="1"/>
  <c r="F13" i="7" s="1"/>
  <c r="E12" i="5"/>
  <c r="G13" i="6"/>
  <c r="G38" i="6"/>
  <c r="G39" i="6"/>
  <c r="G14" i="6"/>
  <c r="F13" i="6"/>
  <c r="F21" i="6"/>
  <c r="F38" i="6"/>
  <c r="F39" i="6"/>
  <c r="E18" i="7"/>
  <c r="E16" i="7"/>
  <c r="F18" i="7"/>
  <c r="E9" i="5"/>
  <c r="F9" i="5"/>
  <c r="F19" i="7"/>
  <c r="I70" i="6"/>
  <c r="H70" i="6"/>
  <c r="F8" i="5"/>
  <c r="F10" i="5" s="1"/>
  <c r="E17" i="7"/>
  <c r="E19" i="7" s="1"/>
  <c r="F22" i="6"/>
  <c r="F74" i="6"/>
  <c r="H74" i="6" s="1"/>
  <c r="G26" i="6"/>
  <c r="G32" i="6" s="1"/>
  <c r="F26" i="6"/>
  <c r="F71" i="6"/>
  <c r="H71" i="6" s="1"/>
  <c r="F11" i="6"/>
  <c r="E8" i="5"/>
  <c r="E10" i="5" s="1"/>
  <c r="G11" i="6"/>
  <c r="G71" i="6"/>
  <c r="I71" i="6" s="1"/>
  <c r="E11" i="7"/>
  <c r="G31" i="6" l="1"/>
  <c r="F31" i="6"/>
  <c r="F34" i="6" s="1"/>
  <c r="F32" i="6"/>
  <c r="F11" i="7"/>
  <c r="E20" i="7"/>
  <c r="C29" i="2" s="1"/>
  <c r="F20" i="7"/>
  <c r="D29" i="2" s="1"/>
  <c r="E12" i="7"/>
  <c r="E13" i="7" s="1"/>
  <c r="C28" i="2" s="1"/>
  <c r="F75" i="6"/>
  <c r="F28" i="6"/>
  <c r="G75" i="6"/>
  <c r="G35" i="6" s="1"/>
  <c r="C14" i="2"/>
  <c r="G28" i="6"/>
  <c r="D14" i="2"/>
  <c r="D28" i="2"/>
  <c r="D27" i="2"/>
  <c r="F31" i="5"/>
  <c r="D19" i="2" l="1"/>
  <c r="F21" i="7"/>
  <c r="D30" i="2" s="1"/>
  <c r="C27" i="2"/>
  <c r="F35" i="6"/>
  <c r="C19" i="2" s="1"/>
  <c r="C20" i="2"/>
  <c r="E21" i="7"/>
  <c r="C30" i="2" s="1"/>
  <c r="G34" i="6"/>
  <c r="F15" i="5"/>
  <c r="F12" i="5"/>
  <c r="G27" i="6"/>
  <c r="D15" i="2" s="1"/>
  <c r="C18" i="2"/>
  <c r="F27" i="6"/>
  <c r="C15" i="2" s="1"/>
  <c r="F37" i="6"/>
  <c r="C21" i="2" s="1"/>
  <c r="G29" i="6"/>
  <c r="D17" i="2" s="1"/>
  <c r="G37" i="6"/>
  <c r="F33" i="6"/>
  <c r="F29" i="6"/>
  <c r="C17" i="2" s="1"/>
  <c r="G33" i="6"/>
  <c r="D16" i="2"/>
  <c r="C16" i="2"/>
  <c r="F11" i="5"/>
  <c r="F13" i="5" s="1"/>
  <c r="F14" i="5"/>
  <c r="F16" i="5" s="1"/>
  <c r="E31" i="5"/>
  <c r="D21" i="2" l="1"/>
  <c r="G36" i="6"/>
  <c r="D20" i="2" s="1"/>
  <c r="D18" i="2"/>
  <c r="E15" i="5"/>
  <c r="E14" i="5"/>
  <c r="E16" i="5" s="1"/>
  <c r="E11" i="5"/>
  <c r="E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<sst xmlns="http://schemas.openxmlformats.org/spreadsheetml/2006/main" count="417" uniqueCount="326">
  <si>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</si>
  <si>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</si>
  <si>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</si>
  <si>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</si>
  <si>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</si>
  <si>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</si>
  <si>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</si>
  <si>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</si>
  <si>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</si>
  <si>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</si>
  <si>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</si>
  <si>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</si>
  <si>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</si>
  <si>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</si>
  <si>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</si>
  <si>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</si>
  <si>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</si>
  <si>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</si>
  <si>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</si>
  <si>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</si>
  <si>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</si>
  <si>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</si>
  <si>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</si>
  <si>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</si>
  <si>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</si>
  <si>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</si>
  <si>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</si>
  <si>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</si>
  <si>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</si>
  <si>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</si>
  <si>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</si>
  <si>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</si>
  <si>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</si>
  <si>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</si>
  <si>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</si>
  <si>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</si>
  <si>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 xml:space="preserve">Netikrinama </t>
  </si>
  <si>
    <t xml:space="preserve">Netikrinama 
</t>
  </si>
  <si>
    <t>Is GG expenditure growth limiting rule valid?</t>
  </si>
  <si>
    <t>Not verified</t>
  </si>
  <si>
    <t>VS priskiriamų biudžetų taisyklės / Rules for the budgets attributable to GG sector</t>
  </si>
  <si>
    <t>Netikrinama</t>
  </si>
  <si>
    <r>
      <t xml:space="preserve">Savivaldybių (j), kurių asignavimai didesni nei 0,3 proc. nominalaus BVP, </t>
    </r>
    <r>
      <rPr>
        <sz val="11"/>
        <color rgb="FF000000"/>
        <rFont val="Arial"/>
        <family val="2"/>
        <charset val="186"/>
      </rPr>
      <t>struktūrinio biudžeto (SB) taisyklė</t>
    </r>
  </si>
  <si>
    <t>Structural budget rule for local governments (j) with appropriations  exceeding 0,3 % of nominal GDP</t>
  </si>
  <si>
    <t>Taisyklė PSDF struktūriniam biudžetui</t>
  </si>
  <si>
    <t>Rule for NHIF structural budget</t>
  </si>
  <si>
    <t>Taisyklė VSDF struktūriniam biudžetui</t>
  </si>
  <si>
    <t>Rule for SSIF structural budget</t>
  </si>
  <si>
    <t>Taisyklė savivaldybių (j) asignavimams, kurie neviršija 0,3 proc. BVP</t>
  </si>
  <si>
    <t>Rule for local governments (j) appropriations of which does not exceed 0.3 % of GDP</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</si>
  <si>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</si>
  <si>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</si>
  <si>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</si>
  <si>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</si>
  <si>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</si>
  <si>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</si>
  <si>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</si>
  <si>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</si>
  <si>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</si>
  <si>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</si>
  <si>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Laikas / Time</t>
  </si>
  <si>
    <t>T</t>
  </si>
  <si>
    <r>
      <t>t−7</t>
    </r>
    <r>
      <rPr>
        <sz val="11"/>
        <color rgb="FF000000"/>
        <rFont val="Arial"/>
        <family val="2"/>
        <charset val="186"/>
      </rPr>
      <t/>
    </r>
  </si>
  <si>
    <r>
      <t>t−6</t>
    </r>
    <r>
      <rPr>
        <sz val="11"/>
        <color rgb="FF000000"/>
        <rFont val="Arial"/>
        <family val="2"/>
        <charset val="186"/>
      </rPr>
      <t/>
    </r>
  </si>
  <si>
    <r>
      <t>t−5</t>
    </r>
    <r>
      <rPr>
        <sz val="11"/>
        <color rgb="FF000000"/>
        <rFont val="Arial"/>
        <family val="2"/>
        <charset val="186"/>
      </rPr>
      <t/>
    </r>
  </si>
  <si>
    <r>
      <t>t−4</t>
    </r>
    <r>
      <rPr>
        <sz val="11"/>
        <color rgb="FF000000"/>
        <rFont val="Arial"/>
        <family val="2"/>
        <charset val="186"/>
      </rPr>
      <t/>
    </r>
  </si>
  <si>
    <r>
      <t>t−3</t>
    </r>
    <r>
      <rPr>
        <sz val="11"/>
        <color rgb="FF000000"/>
        <rFont val="Arial"/>
        <family val="2"/>
        <charset val="186"/>
      </rPr>
      <t/>
    </r>
  </si>
  <si>
    <t>t−2</t>
  </si>
  <si>
    <t>t−1</t>
  </si>
  <si>
    <t>t</t>
  </si>
  <si>
    <t>t+1</t>
  </si>
  <si>
    <t>t+2</t>
  </si>
  <si>
    <t>t+3</t>
  </si>
  <si>
    <t>t+4</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</si>
  <si>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</si>
  <si>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</si>
  <si>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</si>
  <si>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</si>
  <si>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</si>
  <si>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</si>
  <si>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</si>
  <si>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</si>
  <si>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</si>
  <si>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</si>
  <si>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</si>
  <si>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</si>
  <si>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</si>
  <si>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</si>
  <si>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</si>
  <si>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</si>
  <si>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</si>
  <si>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</si>
  <si>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</si>
  <si>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</si>
  <si>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</si>
  <si>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</si>
  <si>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</si>
  <si>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</si>
  <si>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</si>
  <si>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</si>
  <si>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</si>
  <si>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</si>
  <si>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</si>
  <si>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</si>
  <si>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</si>
  <si>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</si>
  <si>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</si>
  <si>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</si>
  <si>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</si>
  <si>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</si>
  <si>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</si>
  <si>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</si>
  <si>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Lietuvos statistikos departamentas</t>
  </si>
  <si>
    <t>Finansų ministerija (FM)</t>
  </si>
  <si>
    <t>Valstybės kontrolės, vykdančios fiskalinės institucijos funkcijas, skaičiavimai</t>
  </si>
  <si>
    <t>National Audit Office of Lithuania, implementing the functions of the fiscal institution, calculations</t>
  </si>
  <si>
    <t>ERS – ekonominės raidos scenarijus</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</si>
  <si>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</si>
  <si>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</si>
  <si>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</si>
  <si>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</si>
  <si>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</si>
  <si>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</si>
  <si>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</si>
  <si>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</si>
  <si>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</si>
  <si>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</si>
  <si>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</si>
  <si>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</si>
  <si>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</si>
  <si>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</si>
  <si>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</si>
  <si>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</si>
  <si>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</si>
  <si>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</si>
  <si>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</si>
  <si>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t>SAF</t>
  </si>
  <si>
    <r>
      <t xml:space="preserve">Konsoliduotos išlaidos VS posektorių, kurių išlaidos &gt; 3 proc. BVP
</t>
    </r>
    <r>
      <rPr>
        <i/>
        <sz val="11"/>
        <rFont val="Arial"/>
        <family val="2"/>
        <charset val="186"/>
      </rPr>
      <t>Consolidated expenditure of GG subsectors with exp. &gt; 3 % of GDP</t>
    </r>
  </si>
  <si>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</si>
  <si>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</si>
  <si>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</si>
  <si>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</si>
  <si>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</si>
  <si>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</si>
  <si>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</si>
  <si>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</si>
  <si>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</si>
  <si>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</si>
  <si>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</si>
  <si>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</si>
  <si>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</si>
  <si>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</si>
  <si>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</si>
  <si>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</si>
  <si>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</si>
  <si>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</si>
  <si>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</si>
  <si>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</si>
  <si>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</si>
  <si>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</si>
  <si>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</si>
  <si>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</si>
  <si>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Ar t metai yra išskirtinių aplinkybių metai?</t>
  </si>
  <si>
    <r>
      <t>S</t>
    </r>
    <r>
      <rPr>
        <vertAlign val="subscript"/>
        <sz val="11"/>
        <color rgb="FF000000"/>
        <rFont val="Arial"/>
        <family val="2"/>
        <charset val="186"/>
      </rPr>
      <t>1</t>
    </r>
  </si>
  <si>
    <t>VS yra faktiškai perteklinis t metais pagal struktūrinį balansą</t>
  </si>
  <si>
    <t>SB(t) &gt; 0*</t>
  </si>
  <si>
    <t xml:space="preserve">In terms of structural balance GG sector is actually in surplus   </t>
  </si>
  <si>
    <r>
      <t>S</t>
    </r>
    <r>
      <rPr>
        <vertAlign val="subscript"/>
        <sz val="11"/>
        <color rgb="FF000000"/>
        <rFont val="Arial"/>
        <family val="2"/>
        <charset val="186"/>
      </rPr>
      <t>2</t>
    </r>
    <r>
      <rPr>
        <sz val="11"/>
        <color theme="1"/>
        <rFont val="Calibri"/>
        <family val="2"/>
        <charset val="186"/>
        <scheme val="minor"/>
      </rPr>
      <t/>
    </r>
  </si>
  <si>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</si>
  <si>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</si>
  <si>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</si>
  <si>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r>
      <t>S</t>
    </r>
    <r>
      <rPr>
        <vertAlign val="subscript"/>
        <sz val="11"/>
        <color rgb="FF000000"/>
        <rFont val="Arial"/>
        <family val="2"/>
        <charset val="186"/>
      </rPr>
      <t>3</t>
    </r>
    <r>
      <rPr>
        <sz val="11"/>
        <color theme="1"/>
        <rFont val="Calibri"/>
        <family val="2"/>
        <charset val="186"/>
        <scheme val="minor"/>
      </rPr>
      <t/>
    </r>
  </si>
  <si>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</si>
  <si>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</si>
  <si>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</si>
  <si>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r>
      <t>S</t>
    </r>
    <r>
      <rPr>
        <vertAlign val="subscript"/>
        <sz val="11"/>
        <color rgb="FF000000"/>
        <rFont val="Arial"/>
        <family val="2"/>
        <charset val="186"/>
      </rPr>
      <t>4</t>
    </r>
    <r>
      <rPr>
        <sz val="11"/>
        <color theme="1"/>
        <rFont val="Calibri"/>
        <family val="2"/>
        <charset val="186"/>
        <scheme val="minor"/>
      </rPr>
      <t/>
    </r>
  </si>
  <si>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</si>
  <si>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</si>
  <si>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</si>
  <si>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</si>
  <si>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r>
      <t>t metais, išskyrus metus, kuriais susidaro išskirtinės aplinkybės, turi būti tenkinama bent viena iš  S</t>
    </r>
    <r>
      <rPr>
        <b/>
        <vertAlign val="subscript"/>
        <sz val="11"/>
        <color rgb="FF00244D"/>
        <rFont val="Arial"/>
        <family val="2"/>
        <charset val="186"/>
      </rPr>
      <t>1</t>
    </r>
    <r>
      <rPr>
        <b/>
        <sz val="11"/>
        <color rgb="FF00244D"/>
        <rFont val="Arial"/>
        <family val="2"/>
        <charset val="186"/>
      </rPr>
      <t>–S</t>
    </r>
    <r>
      <rPr>
        <b/>
        <vertAlign val="subscript"/>
        <sz val="11"/>
        <color rgb="FF00244D"/>
        <rFont val="Arial"/>
        <family val="2"/>
        <charset val="186"/>
      </rPr>
      <t xml:space="preserve">4 </t>
    </r>
    <r>
      <rPr>
        <b/>
        <sz val="11"/>
        <color rgb="FF00244D"/>
        <rFont val="Arial"/>
        <family val="2"/>
        <charset val="186"/>
      </rPr>
      <t xml:space="preserve">sąlygų </t>
    </r>
  </si>
  <si>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</si>
  <si>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</si>
  <si>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</si>
  <si>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</si>
  <si>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</si>
  <si>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</si>
  <si>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</si>
  <si>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</si>
  <si>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</si>
  <si>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</si>
  <si>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</si>
  <si>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</si>
  <si>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</si>
  <si>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</si>
  <si>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</si>
  <si>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</si>
  <si>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</si>
  <si>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</si>
  <si>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</si>
  <si>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</si>
  <si>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</si>
  <si>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r>
      <rPr>
        <sz val="11"/>
        <color rgb="FF000000"/>
        <rFont val="Arial"/>
        <family val="2"/>
        <charset val="186"/>
      </rPr>
      <t>A</t>
    </r>
    <r>
      <rPr>
        <vertAlign val="subscript"/>
        <sz val="11"/>
        <color rgb="FF000000"/>
        <rFont val="Arial"/>
        <family val="2"/>
        <charset val="186"/>
      </rPr>
      <t>1</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</si>
  <si>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</si>
  <si>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</si>
  <si>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r>
      <rPr>
        <sz val="11"/>
        <color rgb="FF000000"/>
        <rFont val="Arial"/>
        <family val="2"/>
        <charset val="186"/>
      </rPr>
      <t>A</t>
    </r>
    <r>
      <rPr>
        <vertAlign val="subscript"/>
        <sz val="11"/>
        <color rgb="FF000000"/>
        <rFont val="Arial"/>
        <family val="2"/>
        <charset val="186"/>
      </rPr>
      <t>2</t>
    </r>
  </si>
  <si>
    <t>Numatomas VS balanso rodiklio postūmis yra teigiamas ir sudaro bent 1,0 procentinį punktą BVP</t>
  </si>
  <si>
    <t>Projected GG sector balance indicator adjustment is positive and makes up at least 1.0 percentage point of GDP</t>
  </si>
  <si>
    <r>
      <rPr>
        <sz val="11"/>
        <color rgb="FF000000"/>
        <rFont val="Arial"/>
        <family val="2"/>
        <charset val="186"/>
      </rPr>
      <t>A</t>
    </r>
    <r>
      <rPr>
        <vertAlign val="subscript"/>
        <sz val="11"/>
        <color rgb="FF000000"/>
        <rFont val="Arial"/>
        <family val="2"/>
        <charset val="186"/>
      </rPr>
      <t>3</t>
    </r>
  </si>
  <si>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</si>
  <si>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</si>
  <si>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r>
      <rPr>
        <sz val="11"/>
        <color rgb="FF000000"/>
        <rFont val="Arial"/>
        <family val="2"/>
        <charset val="186"/>
      </rPr>
      <t>A</t>
    </r>
    <r>
      <rPr>
        <vertAlign val="subscript"/>
        <sz val="11"/>
        <color rgb="FF000000"/>
        <rFont val="Arial"/>
        <family val="2"/>
        <charset val="186"/>
      </rPr>
      <t>4</t>
    </r>
  </si>
  <si>
    <t>Keičiant einamųjų metų bet kurio iš VS priskiriamų biudžetų, kurių kiekvieno atskirai planuojami asignavimai viršija 3 procentus BVP to meto kainomis, pajamas ar išlaidas, pakeistas VS balansas nepablogės, palyginti su buvusiu prieš keitimą</t>
  </si>
  <si>
    <t>B**(t–1) ≥ B(t–1)</t>
  </si>
  <si>
    <t>Netaikoma</t>
  </si>
  <si>
    <t>If planned current year GG sector budgets, the planned appropriations of each of which exceed 3 % of GDP at current prices, are subject to amendment,  the adjusted aggregate balances of the GG budgets is not worse than the one before the amendment</t>
  </si>
  <si>
    <t>Not applied</t>
  </si>
  <si>
    <r>
      <rPr>
        <sz val="11"/>
        <color rgb="FF000000"/>
        <rFont val="Arial"/>
        <family val="2"/>
        <charset val="186"/>
      </rPr>
      <t>A</t>
    </r>
    <r>
      <rPr>
        <vertAlign val="subscript"/>
        <sz val="11"/>
        <color rgb="FF000000"/>
        <rFont val="Arial"/>
        <family val="2"/>
        <charset val="186"/>
      </rPr>
      <t>5</t>
    </r>
  </si>
  <si>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</si>
  <si>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</si>
  <si>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</si>
  <si>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</si>
  <si>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r>
      <t>t metais, VS išlaidų augimo ribojimo taisyklė netaikoma, kai susidaro bent viena iš A</t>
    </r>
    <r>
      <rPr>
        <b/>
        <vertAlign val="subscript"/>
        <sz val="11"/>
        <color rgb="FF00244D"/>
        <rFont val="Arial"/>
        <family val="2"/>
        <charset val="186"/>
      </rPr>
      <t>1</t>
    </r>
    <r>
      <rPr>
        <b/>
        <sz val="11"/>
        <color rgb="FF00244D"/>
        <rFont val="Arial"/>
        <family val="2"/>
        <charset val="186"/>
      </rPr>
      <t>–A</t>
    </r>
    <r>
      <rPr>
        <b/>
        <vertAlign val="subscript"/>
        <sz val="11"/>
        <color rgb="FF00244D"/>
        <rFont val="Arial"/>
        <family val="2"/>
        <charset val="186"/>
      </rPr>
      <t>5</t>
    </r>
    <r>
      <rPr>
        <b/>
        <sz val="11"/>
        <color rgb="FF00244D"/>
        <rFont val="Arial"/>
        <family val="2"/>
        <charset val="186"/>
      </rPr>
      <t xml:space="preserve"> aplinkybių
</t>
    </r>
  </si>
  <si>
    <t>at year t the GG expenditure growth limiting rule is not applied when at least one of the  A1–A5 escape clauses emerges</t>
  </si>
  <si>
    <r>
      <t xml:space="preserve">Taisyklė
</t>
    </r>
    <r>
      <rPr>
        <i/>
        <sz val="11"/>
        <color rgb="FF000000"/>
        <rFont val="Arial"/>
        <family val="2"/>
        <charset val="186"/>
      </rPr>
      <t>Rule</t>
    </r>
  </si>
  <si>
    <r>
      <t xml:space="preserve">Formulė 
</t>
    </r>
    <r>
      <rPr>
        <i/>
        <sz val="11"/>
        <color rgb="FF000000"/>
        <rFont val="Arial"/>
        <family val="2"/>
        <charset val="186"/>
      </rPr>
      <t>Formula</t>
    </r>
  </si>
  <si>
    <r>
      <t>T</t>
    </r>
    <r>
      <rPr>
        <vertAlign val="subscript"/>
        <sz val="11"/>
        <color rgb="FF000000"/>
        <rFont val="Arial"/>
        <family val="2"/>
        <charset val="186"/>
      </rPr>
      <t>1</t>
    </r>
  </si>
  <si>
    <t>Jei / If</t>
  </si>
  <si>
    <t>* nelygybės ženklas yra griežtas, jei skirtumas tarp lyginamų pusių po apvalinimo sudaro bent 0,1, kitaip ženklas interpretuojamas kaip =
** einamaisiais metais keičiamas VS balansas</t>
  </si>
  <si>
    <t>* inequality sign is strict, if a difference between both compared sides after rounding is at least 0,1,  else the sign is interpreted as =
** the adjusted aggregate balances of the GG budgets</t>
  </si>
  <si>
    <t>AV3(t) =</t>
  </si>
  <si>
    <t>AV3(t–1) =</t>
  </si>
  <si>
    <t>ES(t) =</t>
  </si>
  <si>
    <t>ES(t–1) =</t>
  </si>
  <si>
    <t>VI(t) =</t>
  </si>
  <si>
    <t>VI(t–1) =</t>
  </si>
  <si>
    <t>B(t–1)–B(t–2) =</t>
  </si>
  <si>
    <t>BP(t–1)–BP(t–2) =</t>
  </si>
  <si>
    <t>P1(t)/P1(t–1) =</t>
  </si>
  <si>
    <t>P2(t)/P2(t–1) =</t>
  </si>
  <si>
    <t>P3(t)/P3(t–1) =</t>
  </si>
  <si>
    <t>P4(t)/P4(t–1) =</t>
  </si>
  <si>
    <t>ΔYN(t–1) =</t>
  </si>
  <si>
    <t>AP(t)  =</t>
  </si>
  <si>
    <t>ΔSVKI(t)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</si>
  <si>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</si>
  <si>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</si>
  <si>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</si>
  <si>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</si>
  <si>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</si>
  <si>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</si>
  <si>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</si>
  <si>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</si>
  <si>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</si>
  <si>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</si>
  <si>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</si>
  <si>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</si>
  <si>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T</t>
    </r>
    <r>
      <rPr>
        <vertAlign val="subscript"/>
        <sz val="11"/>
        <color rgb="FF000000"/>
        <rFont val="Arial"/>
        <family val="2"/>
        <charset val="186"/>
      </rPr>
      <t>31</t>
    </r>
  </si>
  <si>
    <t>Nuo 2018 m. sausio 1 d. kiekvienas j-asis vietos valdžios sektoriui priskiriamas biudžetas, kurio asignavimai viršija 0,3 procentą praėjusių metų BVP to meto kainomis, turi būti planuojamas, tvirtinamas, keičiamas ir vykdomas taip, kad, sprendžiant pagal to biudžeto struktūrinį balanso rodiklį, apskaičiuotą kaupiamuoju principu, jis būtų perteklinis arba subalansuotas</t>
  </si>
  <si>
    <r>
      <t>SB</t>
    </r>
    <r>
      <rPr>
        <vertAlign val="subscript"/>
        <sz val="11"/>
        <color rgb="FF000000"/>
        <rFont val="Arial"/>
        <family val="2"/>
        <charset val="186"/>
      </rPr>
      <t>j</t>
    </r>
    <r>
      <rPr>
        <sz val="11"/>
        <color rgb="FF000000"/>
        <rFont val="Arial"/>
        <family val="2"/>
        <charset val="186"/>
      </rPr>
      <t>(t) ≥ 0, ꓯj</t>
    </r>
  </si>
  <si>
    <t>From 1 January 2018 each j-th budget attributable to local government sector, planned appropriations of which exceeds 0.3 % of GDP in the preceding year at current prices, must be planned, approved, amended and implemented to be in surplus or balanced when judged by its structural balance indicator calculated on accrual basis</t>
  </si>
  <si>
    <r>
      <t xml:space="preserve">Taisyklė savivaldybių (j) asignavimams, kurie viršija 0,3 proc. BVP
</t>
    </r>
    <r>
      <rPr>
        <b/>
        <i/>
        <sz val="11"/>
        <color rgb="FF00244D"/>
        <rFont val="Arial"/>
        <family val="2"/>
        <charset val="186"/>
      </rPr>
      <t>Rule for local governments (j) appropriations of which exceed 0.3 % of GDP</t>
    </r>
  </si>
  <si>
    <r>
      <t>T</t>
    </r>
    <r>
      <rPr>
        <vertAlign val="subscript"/>
        <sz val="11"/>
        <color rgb="FF000000"/>
        <rFont val="Arial"/>
        <family val="2"/>
        <charset val="186"/>
      </rPr>
      <t>32</t>
    </r>
  </si>
  <si>
    <r>
      <t xml:space="preserve">Nuo 2018 m. sausio 1 d. PSDF biudžetas turi būti planuojamas, tvirtinamas, keičiamas ir vykdomas taip, kad, sprendžiant pagal to biudžeto struktūrinį balanso rodiklį, apskaičiuotą kaupiamuoju principu, jis būtų perteklinis arba subalansuotas
</t>
    </r>
    <r>
      <rPr>
        <i/>
        <sz val="11"/>
        <rFont val="Arial"/>
        <family val="2"/>
        <charset val="186"/>
      </rPr>
      <t>From 1 January 2018 NHIF budget must be planned, approved, amended and implemented to be in surplus or balanced when judged by its structural balance indicator calculated on accrual basis</t>
    </r>
  </si>
  <si>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</si>
  <si>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</si>
  <si>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</si>
  <si>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</si>
  <si>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r>
      <t>T</t>
    </r>
    <r>
      <rPr>
        <vertAlign val="subscript"/>
        <sz val="11"/>
        <color rgb="FF000000"/>
        <rFont val="Arial"/>
        <family val="2"/>
        <charset val="186"/>
      </rPr>
      <t>4</t>
    </r>
  </si>
  <si>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</si>
  <si>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</si>
  <si>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</si>
  <si>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</si>
  <si>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r>
      <t>Taisyklė</t>
    </r>
    <r>
      <rPr>
        <b/>
        <sz val="11"/>
        <color rgb="FFFF0000"/>
        <rFont val="Arial"/>
        <family val="2"/>
        <charset val="186"/>
      </rPr>
      <t xml:space="preserve"> </t>
    </r>
    <r>
      <rPr>
        <b/>
        <sz val="11"/>
        <color rgb="FF00244D"/>
        <rFont val="Arial"/>
        <family val="2"/>
        <charset val="186"/>
      </rPr>
      <t>VSDF struktūriniam biudžetui</t>
    </r>
  </si>
  <si>
    <t>Rule for VSDF structural budget</t>
  </si>
  <si>
    <r>
      <t>T</t>
    </r>
    <r>
      <rPr>
        <vertAlign val="subscript"/>
        <sz val="11"/>
        <color rgb="FF000000"/>
        <rFont val="Arial"/>
        <family val="2"/>
        <charset val="186"/>
      </rPr>
      <t>5</t>
    </r>
  </si>
  <si>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</si>
  <si>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AP(t) ≥ 0 &amp; 
VIj(t)/VPj(t) ≤ 1</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</si>
  <si>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</si>
  <si>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AP(t) &lt; 0 &amp; 
VIj(t)/VPj(t) ≤ 1,015</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</si>
  <si>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</si>
  <si>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</si>
  <si>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</si>
  <si>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</si>
  <si>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</si>
  <si>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</si>
  <si>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
</t>
    </r>
    <r>
      <rPr>
        <i/>
        <sz val="11"/>
        <color rgb="FF00244D"/>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</si>
  <si>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SUVESTINĖ /</t>
    </r>
    <r>
      <rPr>
        <i/>
        <sz val="12"/>
        <color rgb="FF00244D"/>
        <rFont val="Arial"/>
        <family val="2"/>
        <charset val="186"/>
      </rPr>
      <t xml:space="preserve"> </t>
    </r>
    <r>
      <rPr>
        <sz val="12"/>
        <color rgb="FF00244D"/>
        <rFont val="Arial"/>
        <family val="2"/>
        <charset val="186"/>
      </rPr>
      <t>SUMMARY</t>
    </r>
  </si>
  <si>
    <t>t−8</t>
  </si>
  <si>
    <r>
      <t xml:space="preserve">1. Fiskalinės drausmės taisyklių laikymosi suvestinė 2021 m.
</t>
    </r>
    <r>
      <rPr>
        <b/>
        <i/>
        <sz val="11"/>
        <color rgb="FF00244D"/>
        <rFont val="Arial"/>
        <family val="2"/>
        <charset val="186"/>
      </rPr>
      <t>Summary of the fulfilment of the fiscal discipline rules in year 2021</t>
    </r>
  </si>
  <si>
    <t>Savivaldybių biudžetų atitiktis fiskalinės drausmės taisyklėms bus vertinama 2022 m. I pusmečio pabaigoje</t>
  </si>
  <si>
    <t>Will be assessed at the end of the first half of 2022</t>
  </si>
  <si>
    <t>B(t) − B(t–1) ≥ +1</t>
  </si>
  <si>
    <r>
      <t xml:space="preserve">Vidutinė metinė SVKI infliacija
</t>
    </r>
    <r>
      <rPr>
        <i/>
        <sz val="11"/>
        <color rgb="FF000000"/>
        <rFont val="Arial"/>
        <family val="2"/>
        <charset val="186"/>
      </rPr>
      <t>Average annual HICP inflation</t>
    </r>
  </si>
  <si>
    <t xml:space="preserve">ΔSVKI(T)
</t>
  </si>
  <si>
    <t>B(t) − B(t–1) ≥ 1  &amp;
B(t–1)–B(t–2) ≥ 
BP(t–1)–BP(t–2)+0,5</t>
  </si>
  <si>
    <t>E2, when projected current year GG sector balance indicator positive adjustment is not greater than planned current year GG positive adjustment by more than 0.5 % of GDP at current prices</t>
  </si>
  <si>
    <r>
      <rPr>
        <sz val="11"/>
        <color rgb="FF000000"/>
        <rFont val="Arial"/>
        <family val="2"/>
        <charset val="186"/>
      </rPr>
      <t>A</t>
    </r>
    <r>
      <rPr>
        <vertAlign val="subscript"/>
        <sz val="11"/>
        <color rgb="FF000000"/>
        <rFont val="Arial"/>
        <family val="2"/>
        <charset val="186"/>
      </rPr>
      <t>2*</t>
    </r>
  </si>
  <si>
    <r>
      <t>A</t>
    </r>
    <r>
      <rPr>
        <vertAlign val="subscript"/>
        <sz val="10"/>
        <rFont val="Arial"/>
        <family val="2"/>
        <charset val="186"/>
      </rPr>
      <t>2</t>
    </r>
    <r>
      <rPr>
        <sz val="10"/>
        <rFont val="Arial"/>
        <family val="2"/>
        <charset val="186"/>
      </rPr>
      <t>, kai numatomas einamųjų metų VS balanso rodiklio teigiamas postūmis nėra mažesnis už suplanuotą einamųjų kalendorinių metų VS balanso rodiklio teigiamą postūmį daugiau kaip 0,5 procentinio punkto BVP to meto kainomis</t>
    </r>
  </si>
  <si>
    <r>
      <rPr>
        <sz val="11"/>
        <color rgb="FF000000"/>
        <rFont val="Arial"/>
        <family val="2"/>
        <charset val="186"/>
      </rPr>
      <t>A</t>
    </r>
    <r>
      <rPr>
        <vertAlign val="subscript"/>
        <sz val="11"/>
        <color rgb="FF000000"/>
        <rFont val="Arial"/>
        <family val="2"/>
        <charset val="186"/>
      </rPr>
      <t>5*</t>
    </r>
  </si>
  <si>
    <t>A5, o prognozuojama vidutinė metinė infliacija, apskaičiuojama pagal suderintą vartotojų kainų indeksą, neviršija 3 procentų</t>
  </si>
  <si>
    <t>AP(t) &lt; 0 &amp; ΔSVKI(t) ≤ 3</t>
  </si>
  <si>
    <t>A5, and projected annual inflation, estimated by harmonised index of consumer prices is not greater that 3 %</t>
  </si>
  <si>
    <r>
      <t>T</t>
    </r>
    <r>
      <rPr>
        <vertAlign val="subscript"/>
        <sz val="11"/>
        <color rgb="FF000000"/>
        <rFont val="Arial"/>
        <family val="2"/>
        <charset val="186"/>
      </rPr>
      <t>2</t>
    </r>
  </si>
  <si>
    <t>Pagal FDĮ panaši į T1 išlaidų ribojimo taisyklė turi būti pritaikyta visam konsoliduotam VS biudžetui (be Europos Sąjungos finansinės paramos lėšų)</t>
  </si>
  <si>
    <t xml:space="preserve">According to FDL a similar to T1 GG consolidated budget's expenditure growth rule is applied (net of EU financial support) </t>
  </si>
  <si>
    <t>Šaltinis: KĮ 3 straipsnis 3 dalis, taisyklės pažymėtos * FDĮ 2-3 straipsniai</t>
  </si>
  <si>
    <t>Source: CL Article 3(3), rules denoted by * FDL Articles 2 and 3</t>
  </si>
  <si>
    <t>2021 m. pavasario ERS</t>
  </si>
  <si>
    <t>2020 m. žiemos ERS</t>
  </si>
  <si>
    <t>2020 m. rudens EK projekcijos</t>
  </si>
  <si>
    <t>2021 m. pavasario EK projekcijos</t>
  </si>
  <si>
    <t>2020K2-2021K1</t>
  </si>
  <si>
    <r>
      <t>Valstybės biudžetas, be pervedimų SAF
State budget</t>
    </r>
    <r>
      <rPr>
        <i/>
        <sz val="11"/>
        <rFont val="Arial"/>
        <family val="2"/>
        <charset val="186"/>
      </rPr>
      <t>, net of transfers to SSF</t>
    </r>
  </si>
  <si>
    <r>
      <t xml:space="preserve">Socialinės apsaugos fondai, be pervedimų VB
</t>
    </r>
    <r>
      <rPr>
        <i/>
        <sz val="11"/>
        <rFont val="Arial"/>
        <family val="2"/>
        <charset val="186"/>
      </rPr>
      <t>Social Security Funds, net of transfers to SB</t>
    </r>
  </si>
  <si>
    <t>VB</t>
  </si>
  <si>
    <t xml:space="preserve">Metais t rengiant, tvirtinant ir keičiant VS priskiriamų biudžetų, kurių kiekvieno atskirai planuojami asignavimai viršija 3 proc. BVP to meto kainomis (VB,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</si>
  <si>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At year t the preparation, approval and amendment of draft laws or their draft amending laws on approval of the budgets attributable to the GG sector the planned appropriations of each of which exceed 3 % of GDP (state budget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</si>
  <si>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AV3=VB+SAF</t>
  </si>
  <si>
    <t>2022 pavasario ERS duomenys</t>
  </si>
  <si>
    <r>
      <rPr>
        <sz val="11"/>
        <rFont val="Arial"/>
        <family val="2"/>
        <charset val="186"/>
      </rPr>
      <t xml:space="preserve">2022 Projekcijos </t>
    </r>
    <r>
      <rPr>
        <i/>
        <sz val="11"/>
        <rFont val="Arial"/>
        <family val="2"/>
        <charset val="186"/>
      </rPr>
      <t xml:space="preserve">/ </t>
    </r>
    <r>
      <rPr>
        <sz val="11"/>
        <rFont val="Arial"/>
        <family val="2"/>
        <charset val="186"/>
      </rPr>
      <t>Projections</t>
    </r>
  </si>
  <si>
    <r>
      <t xml:space="preserve">Institucija, kurios projekcijų pagrindu atliekama analizė
</t>
    </r>
    <r>
      <rPr>
        <i/>
        <sz val="11"/>
        <color rgb="FF000000"/>
        <rFont val="Arial"/>
        <family val="2"/>
        <charset val="186"/>
      </rPr>
      <t>Institution, projections of which are used for the analysis</t>
    </r>
  </si>
  <si>
    <t>2022 m. gegužės 6 d. Nr. BPE–4</t>
  </si>
  <si>
    <r>
      <t xml:space="preserve">4. Perteklinio VS taisyklės sąlygos
</t>
    </r>
    <r>
      <rPr>
        <b/>
        <i/>
        <sz val="11"/>
        <color rgb="FF00244D"/>
        <rFont val="Arial"/>
        <family val="2"/>
        <charset val="186"/>
      </rPr>
      <t>Conditions of the surplus GG sector rule</t>
    </r>
  </si>
  <si>
    <r>
      <t xml:space="preserve">5. VS išlaidų augimo ribojimo taisyklė
</t>
    </r>
    <r>
      <rPr>
        <b/>
        <i/>
        <sz val="11"/>
        <color rgb="FF00244D"/>
        <rFont val="Arial"/>
        <family val="2"/>
        <charset val="186"/>
      </rPr>
      <t>GG expenditure growth limiting rule</t>
    </r>
  </si>
  <si>
    <r>
      <t xml:space="preserve">6. VS priskiriamų biudžetų taisyklės
</t>
    </r>
    <r>
      <rPr>
        <b/>
        <i/>
        <sz val="11"/>
        <color rgb="FF00244D"/>
        <rFont val="Arial"/>
        <family val="2"/>
        <charset val="186"/>
      </rPr>
      <t>Rules for the budgets attributable to GG sector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</si>
</sst>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s>
  <fonts count="51"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8"/>
      <name val="Arial"/>
      <family val="2"/>
      <charset val="186"/>
    </font>
    <font>
      <sz val="10"/>
      <name val="Arial Baltic"/>
      <charset val="186"/>
    </font>
    <font>
      <b/>
      <sz val="9"/>
      <name val="Arial"/>
      <family val="2"/>
      <charset val="186"/>
    </font>
    <font>
      <sz val="8"/>
      <color rgb="FFFF0000"/>
      <name val="Arial"/>
      <family val="2"/>
      <charset val="186"/>
    </font>
    <font>
      <sz val="11"/>
      <color rgb="FF000000"/>
      <name val="Calibri"/>
      <family val="2"/>
      <charset val="186"/>
    </font>
    <font>
      <b/>
      <vertAlign val="subscript"/>
      <sz val="11"/>
      <color rgb="FF00244D"/>
      <name val="Arial"/>
      <family val="2"/>
      <charset val="186"/>
    </font>
    <font>
      <sz val="10"/>
      <color rgb="FF00244D"/>
      <name val="Arial"/>
      <family val="2"/>
      <charset val="186"/>
    </font>
    <font>
      <b/>
      <sz val="11"/>
      <color rgb="FFFF0000"/>
      <name val="Arial"/>
      <family val="2"/>
      <charset val="186"/>
    </font>
    <font>
      <sz val="11"/>
      <name val="Calibri Light"/>
      <family val="2"/>
      <charset val="186"/>
      <scheme val="major"/>
    </font>
    <font>
      <b/>
      <i/>
      <sz val="11"/>
      <color rgb="FF00244D"/>
      <name val="Arial"/>
      <family val="2"/>
      <charset val="186"/>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12"/>
      <color rgb="FF00244D"/>
      <name val="Arial"/>
      <family val="2"/>
      <charset val="186"/>
    </font>
    <font>
      <sz val="11"/>
      <color rgb="FF535141"/>
      <name val="Arial"/>
      <family val="2"/>
      <charset val="186"/>
    </font>
    <font>
      <sz val="14"/>
      <color rgb="FF535141"/>
      <name val="Arial"/>
      <family val="2"/>
      <charset val="186"/>
    </font>
    <font>
      <i/>
      <sz val="11"/>
      <color rgb="FF00244D"/>
      <name val="Arial"/>
      <family val="2"/>
      <charset val="186"/>
    </font>
    <font>
      <i/>
      <sz val="12"/>
      <color rgb="FF00244D"/>
      <name val="Arial"/>
      <family val="2"/>
      <charset val="186"/>
    </font>
    <font>
      <sz val="14"/>
      <color rgb="FF00244D"/>
      <name val="Arial"/>
      <family val="2"/>
      <charset val="186"/>
    </font>
    <font>
      <i/>
      <u/>
      <sz val="11"/>
      <color rgb="FF00244D"/>
      <name val="Arial"/>
      <family val="2"/>
      <charset val="186"/>
    </font>
    <font>
      <sz val="11"/>
      <color theme="4"/>
      <name val="Arial"/>
      <family val="2"/>
      <charset val="186"/>
    </font>
    <font>
      <sz val="11"/>
      <name val="Arial"/>
      <charset val="238"/>
    </font>
    <font>
      <sz val="10"/>
      <color rgb="FF000000"/>
      <name val="Arial"/>
      <family val="2"/>
      <charset val="186"/>
    </font>
    <font>
      <vertAlign val="subscript"/>
      <sz val="10"/>
      <name val="Arial"/>
      <family val="2"/>
      <charset val="186"/>
    </font>
    <font>
      <i/>
      <sz val="10"/>
      <color rgb="FF000000"/>
      <name val="Arial"/>
      <family val="2"/>
      <charset val="186"/>
    </font>
    <font>
      <i/>
      <sz val="10"/>
      <name val="Arial"/>
      <family val="2"/>
      <charset val="186"/>
    </font>
  </fonts>
  <fills count="10">
    <fill>
      <patternFill patternType="none"/>
    </fill>
    <fill>
      <patternFill patternType="gray125"/>
    </fill>
    <fill>
      <patternFill patternType="solid">
        <fgColor rgb="FFC9D6D9"/>
        <bgColor indexed="64"/>
      </patternFill>
    </fill>
    <fill>
      <patternFill patternType="solid">
        <fgColor rgb="FFC9D6D9"/>
        <bgColor rgb="FF000000"/>
      </patternFill>
    </fill>
    <fill>
      <patternFill patternType="solid">
        <fgColor rgb="FFD1D1D1"/>
        <bgColor rgb="FF000000"/>
      </patternFill>
    </fill>
    <fill>
      <patternFill patternType="solid">
        <fgColor rgb="FFB5DDF0"/>
        <bgColor rgb="FF000000"/>
      </patternFill>
    </fill>
    <fill>
      <patternFill patternType="solid">
        <fgColor rgb="FFF39EA0"/>
        <bgColor rgb="FF000000"/>
      </patternFill>
    </fill>
    <fill>
      <patternFill patternType="solid">
        <fgColor rgb="FFFFFFFF"/>
        <bgColor rgb="FF000000"/>
      </patternFill>
    </fill>
    <fill>
      <patternFill patternType="solid">
        <fgColor theme="0"/>
        <bgColor indexed="64"/>
      </patternFill>
    </fill>
    <fill>
      <patternFill patternType="solid">
        <fgColor rgb="FF00244D"/>
        <bgColor indexed="64"/>
      </patternFill>
    </fill>
  </fills>
  <borders count="49">
    <border>
      <left/>
      <right/>
      <top/>
      <bottom/>
      <diagonal/>
    </border>
    <border>
      <left style="medium">
        <color rgb="FF00244D"/>
      </left>
      <right style="medium">
        <color rgb="FF00244D"/>
      </right>
      <top style="medium">
        <color rgb="FF00244D"/>
      </top>
      <bottom style="medium">
        <color rgb="FF00244D"/>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style="thick">
        <color rgb="FF00244D"/>
      </left>
      <right style="medium">
        <color rgb="FF00244D"/>
      </right>
      <top style="thick">
        <color rgb="FF00244D"/>
      </top>
      <bottom style="medium">
        <color rgb="FF00244D"/>
      </bottom>
      <diagonal/>
    </border>
    <border>
      <left style="medium">
        <color rgb="FF00244D"/>
      </left>
      <right style="medium">
        <color rgb="FF00244D"/>
      </right>
      <top style="thick">
        <color rgb="FF00244D"/>
      </top>
      <bottom style="medium">
        <color rgb="FF00244D"/>
      </bottom>
      <diagonal/>
    </border>
    <border>
      <left style="medium">
        <color rgb="FF00244D"/>
      </left>
      <right style="thick">
        <color rgb="FF00244D"/>
      </right>
      <top style="thick">
        <color rgb="FF00244D"/>
      </top>
      <bottom style="medium">
        <color rgb="FF00244D"/>
      </bottom>
      <diagonal/>
    </border>
    <border>
      <left style="thick">
        <color rgb="FF00244D"/>
      </left>
      <right style="medium">
        <color rgb="FF00244D"/>
      </right>
      <top style="medium">
        <color rgb="FF00244D"/>
      </top>
      <bottom style="medium">
        <color rgb="FF00244D"/>
      </bottom>
      <diagonal/>
    </border>
    <border>
      <left style="medium">
        <color rgb="FF00244D"/>
      </left>
      <right style="thick">
        <color rgb="FF00244D"/>
      </right>
      <top style="medium">
        <color rgb="FF00244D"/>
      </top>
      <bottom style="medium">
        <color rgb="FF00244D"/>
      </bottom>
      <diagonal/>
    </border>
    <border>
      <left style="medium">
        <color rgb="FF00244D"/>
      </left>
      <right style="medium">
        <color rgb="FF00244D"/>
      </right>
      <top style="medium">
        <color rgb="FF00244D"/>
      </top>
      <bottom/>
      <diagonal/>
    </border>
    <border>
      <left style="medium">
        <color rgb="FF00244D"/>
      </left>
      <right style="thick">
        <color rgb="FF00244D"/>
      </right>
      <top style="medium">
        <color rgb="FF00244D"/>
      </top>
      <bottom/>
      <diagonal/>
    </border>
    <border>
      <left style="medium">
        <color rgb="FF00244D"/>
      </left>
      <right style="medium">
        <color rgb="FF00244D"/>
      </right>
      <top/>
      <bottom style="medium">
        <color rgb="FF00244D"/>
      </bottom>
      <diagonal/>
    </border>
    <border>
      <left style="medium">
        <color rgb="FF00244D"/>
      </left>
      <right style="thick">
        <color rgb="FF00244D"/>
      </right>
      <top/>
      <bottom style="medium">
        <color rgb="FF00244D"/>
      </bottom>
      <diagonal/>
    </border>
    <border>
      <left style="thick">
        <color rgb="FF00244D"/>
      </left>
      <right style="medium">
        <color rgb="FF00244D"/>
      </right>
      <top style="medium">
        <color rgb="FF00244D"/>
      </top>
      <bottom/>
      <diagonal/>
    </border>
    <border>
      <left style="thick">
        <color rgb="FF00244D"/>
      </left>
      <right style="medium">
        <color rgb="FF00244D"/>
      </right>
      <top/>
      <bottom style="medium">
        <color rgb="FF00244D"/>
      </bottom>
      <diagonal/>
    </border>
    <border>
      <left style="thick">
        <color rgb="FF00244D"/>
      </left>
      <right style="medium">
        <color rgb="FF00244D"/>
      </right>
      <top style="medium">
        <color rgb="FF00244D"/>
      </top>
      <bottom style="thick">
        <color rgb="FF00244D"/>
      </bottom>
      <diagonal/>
    </border>
    <border>
      <left style="medium">
        <color rgb="FF00244D"/>
      </left>
      <right/>
      <top style="medium">
        <color rgb="FF00244D"/>
      </top>
      <bottom style="medium">
        <color rgb="FF00244D"/>
      </bottom>
      <diagonal/>
    </border>
    <border>
      <left/>
      <right style="medium">
        <color rgb="FF00244D"/>
      </right>
      <top style="medium">
        <color rgb="FF00244D"/>
      </top>
      <bottom style="medium">
        <color rgb="FF00244D"/>
      </bottom>
      <diagonal/>
    </border>
    <border>
      <left/>
      <right/>
      <top style="medium">
        <color indexed="64"/>
      </top>
      <bottom style="medium">
        <color rgb="FF00244D"/>
      </bottom>
      <diagonal/>
    </border>
    <border>
      <left/>
      <right/>
      <top style="medium">
        <color rgb="FF00244D"/>
      </top>
      <bottom style="medium">
        <color rgb="FF00244D"/>
      </bottom>
      <diagonal/>
    </border>
    <border>
      <left style="medium">
        <color rgb="FF00244D"/>
      </left>
      <right style="medium">
        <color rgb="FF00244D"/>
      </right>
      <top/>
      <bottom style="thick">
        <color rgb="FF00244D"/>
      </bottom>
      <diagonal/>
    </border>
    <border>
      <left style="medium">
        <color rgb="FF00244D"/>
      </left>
      <right style="thick">
        <color rgb="FF00244D"/>
      </right>
      <top/>
      <bottom style="thick">
        <color rgb="FF00244D"/>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rgb="FF00244D"/>
      </left>
      <right style="medium">
        <color rgb="FF8D8473"/>
      </right>
      <top style="medium">
        <color rgb="FF00244D"/>
      </top>
      <bottom style="medium">
        <color rgb="FF00244D"/>
      </bottom>
      <diagonal/>
    </border>
    <border>
      <left style="medium">
        <color rgb="FF8D8473"/>
      </left>
      <right style="medium">
        <color rgb="FF00244D"/>
      </right>
      <top style="medium">
        <color rgb="FF00244D"/>
      </top>
      <bottom style="medium">
        <color rgb="FF00244D"/>
      </bottom>
      <diagonal/>
    </border>
    <border>
      <left/>
      <right style="thick">
        <color rgb="FF00244D"/>
      </right>
      <top style="medium">
        <color rgb="FF00244D"/>
      </top>
      <bottom style="medium">
        <color rgb="FF00244D"/>
      </bottom>
      <diagonal/>
    </border>
    <border>
      <left style="medium">
        <color rgb="FF00244D"/>
      </left>
      <right style="medium">
        <color rgb="FF00244D"/>
      </right>
      <top/>
      <bottom/>
      <diagonal/>
    </border>
    <border>
      <left style="thick">
        <color rgb="FF00244D"/>
      </left>
      <right style="medium">
        <color rgb="FF00244D"/>
      </right>
      <top/>
      <bottom/>
      <diagonal/>
    </border>
    <border>
      <left style="medium">
        <color rgb="FF00244D"/>
      </left>
      <right style="thick">
        <color rgb="FF00244D"/>
      </right>
      <top/>
      <bottom/>
      <diagonal/>
    </border>
    <border>
      <left/>
      <right style="thick">
        <color rgb="FF00244D"/>
      </right>
      <top style="medium">
        <color rgb="FF00244D"/>
      </top>
      <bottom/>
      <diagonal/>
    </border>
    <border>
      <left/>
      <right style="thick">
        <color rgb="FF00244D"/>
      </right>
      <top/>
      <bottom/>
      <diagonal/>
    </border>
    <border>
      <left/>
      <right style="thick">
        <color rgb="FF00244D"/>
      </right>
      <top/>
      <bottom style="medium">
        <color rgb="FF00244D"/>
      </bottom>
      <diagonal/>
    </border>
    <border>
      <left style="thick">
        <color rgb="FF00244D"/>
      </left>
      <right style="medium">
        <color rgb="FF00244D"/>
      </right>
      <top/>
      <bottom style="thick">
        <color rgb="FF00244D"/>
      </bottom>
      <diagonal/>
    </border>
    <border>
      <left style="medium">
        <color rgb="FF00244D"/>
      </left>
      <right/>
      <top/>
      <bottom style="thick">
        <color rgb="FF00244D"/>
      </bottom>
      <diagonal/>
    </border>
    <border>
      <left/>
      <right/>
      <top/>
      <bottom style="thin">
        <color rgb="FF00244D"/>
      </bottom>
      <diagonal/>
    </border>
    <border>
      <left/>
      <right/>
      <top style="thick">
        <color rgb="FF00244D"/>
      </top>
      <bottom/>
      <diagonal/>
    </border>
    <border>
      <left style="medium">
        <color indexed="64"/>
      </left>
      <right/>
      <top style="medium">
        <color indexed="64"/>
      </top>
      <bottom style="medium">
        <color rgb="FF00244D"/>
      </bottom>
      <diagonal/>
    </border>
    <border>
      <left/>
      <right style="medium">
        <color indexed="64"/>
      </right>
      <top style="medium">
        <color indexed="64"/>
      </top>
      <bottom style="medium">
        <color rgb="FF00244D"/>
      </bottom>
      <diagonal/>
    </border>
    <border>
      <left style="thick">
        <color rgb="FF00244D"/>
      </left>
      <right/>
      <top style="medium">
        <color rgb="FF00244D"/>
      </top>
      <bottom style="medium">
        <color rgb="FF00244D"/>
      </bottom>
      <diagonal/>
    </border>
  </borders>
  <cellStyleXfs count="8">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21" fillId="0" borderId="0"/>
    <xf numFmtId="0" fontId="46" fillId="0" borderId="0"/>
  </cellStyleXfs>
  <cellXfs count="472">
    <xf numFmtId="0" fontId="0" fillId="0" borderId="0" xfId="0"/>
    <xf numFmtId="0" fontId="3" fillId="0" borderId="0" xfId="0" applyFont="1" applyFill="1" applyBorder="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Fill="1" applyBorder="1" applyAlignment="1">
      <alignment wrapText="1"/>
    </xf>
    <xf numFmtId="0" fontId="8" fillId="0" borderId="13" xfId="0" applyFont="1" applyFill="1" applyBorder="1" applyAlignment="1">
      <alignment horizontal="right" wrapText="1" indent="1"/>
    </xf>
    <xf numFmtId="0" fontId="8" fillId="5" borderId="14" xfId="0" applyFont="1" applyFill="1" applyBorder="1" applyAlignment="1">
      <alignment horizontal="center" vertical="center"/>
    </xf>
    <xf numFmtId="0" fontId="3" fillId="4" borderId="15"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0" borderId="0" xfId="0" applyFont="1" applyFill="1" applyBorder="1" applyAlignment="1">
      <alignment horizontal="right" indent="1"/>
    </xf>
    <xf numFmtId="0" fontId="3" fillId="0" borderId="0" xfId="0" applyFont="1" applyFill="1" applyBorder="1" applyAlignment="1">
      <alignment horizontal="right" wrapText="1" indent="1"/>
    </xf>
    <xf numFmtId="0" fontId="5" fillId="0" borderId="0" xfId="0" applyFont="1" applyFill="1" applyBorder="1"/>
    <xf numFmtId="0" fontId="13" fillId="0" borderId="0" xfId="0" applyFont="1" applyFill="1" applyBorder="1"/>
    <xf numFmtId="0" fontId="8" fillId="0"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4" fontId="8" fillId="6" borderId="1" xfId="0" applyNumberFormat="1" applyFont="1" applyFill="1" applyBorder="1" applyAlignment="1">
      <alignment horizontal="right" vertical="center" indent="1"/>
    </xf>
    <xf numFmtId="164" fontId="8" fillId="7" borderId="1" xfId="0" applyNumberFormat="1" applyFont="1" applyFill="1" applyBorder="1" applyAlignment="1">
      <alignment horizontal="right" vertical="center" indent="1"/>
    </xf>
    <xf numFmtId="164" fontId="8" fillId="0" borderId="1" xfId="0" applyNumberFormat="1" applyFont="1" applyFill="1" applyBorder="1" applyAlignment="1">
      <alignment horizontal="right" vertical="center" indent="1"/>
    </xf>
    <xf numFmtId="164" fontId="3" fillId="7" borderId="1" xfId="0" applyNumberFormat="1" applyFont="1" applyFill="1" applyBorder="1" applyAlignment="1">
      <alignment horizontal="right" vertical="center" indent="1"/>
    </xf>
    <xf numFmtId="164" fontId="8" fillId="5" borderId="1" xfId="0" applyNumberFormat="1" applyFont="1" applyFill="1" applyBorder="1" applyAlignment="1">
      <alignment horizontal="right" vertical="center" indent="1"/>
    </xf>
    <xf numFmtId="164" fontId="8" fillId="4" borderId="1" xfId="0" applyNumberFormat="1" applyFont="1" applyFill="1" applyBorder="1" applyAlignment="1">
      <alignment horizontal="right" vertical="center" indent="1"/>
    </xf>
    <xf numFmtId="0" fontId="8" fillId="0" borderId="0" xfId="0" applyFont="1" applyFill="1" applyBorder="1"/>
    <xf numFmtId="166" fontId="3" fillId="0" borderId="0" xfId="0" applyNumberFormat="1" applyFont="1" applyFill="1" applyBorder="1"/>
    <xf numFmtId="0" fontId="16" fillId="0" borderId="0" xfId="0" applyFont="1" applyFill="1" applyBorder="1"/>
    <xf numFmtId="164" fontId="3" fillId="0" borderId="0" xfId="0" applyNumberFormat="1" applyFont="1" applyFill="1" applyBorder="1"/>
    <xf numFmtId="168" fontId="8" fillId="6" borderId="1" xfId="0" applyNumberFormat="1" applyFont="1" applyFill="1" applyBorder="1" applyAlignment="1">
      <alignment horizontal="right" vertical="center" indent="1"/>
    </xf>
    <xf numFmtId="164" fontId="16" fillId="7" borderId="1" xfId="0" applyNumberFormat="1" applyFont="1" applyFill="1" applyBorder="1" applyAlignment="1">
      <alignment horizontal="right" vertical="center" indent="1"/>
    </xf>
    <xf numFmtId="0" fontId="18" fillId="0" borderId="0" xfId="0" applyFont="1" applyFill="1" applyBorder="1"/>
    <xf numFmtId="0" fontId="3" fillId="6" borderId="1" xfId="0" applyFont="1" applyFill="1" applyBorder="1"/>
    <xf numFmtId="0" fontId="3" fillId="4" borderId="1" xfId="0" applyFont="1" applyFill="1" applyBorder="1"/>
    <xf numFmtId="0" fontId="3" fillId="5" borderId="1" xfId="0" applyFont="1" applyFill="1" applyBorder="1"/>
    <xf numFmtId="0" fontId="19" fillId="0" borderId="0" xfId="0" applyFont="1" applyFill="1" applyBorder="1" applyAlignment="1">
      <alignment horizontal="right" indent="1"/>
    </xf>
    <xf numFmtId="0" fontId="3" fillId="0" borderId="1" xfId="0" applyFont="1" applyFill="1" applyBorder="1"/>
    <xf numFmtId="166" fontId="20" fillId="0" borderId="0" xfId="0" applyNumberFormat="1" applyFont="1" applyFill="1" applyBorder="1" applyAlignment="1">
      <alignment horizontal="center"/>
    </xf>
    <xf numFmtId="0" fontId="5" fillId="0" borderId="0" xfId="0" applyFont="1" applyFill="1" applyBorder="1" applyAlignment="1">
      <alignment horizontal="right" indent="1"/>
    </xf>
    <xf numFmtId="2" fontId="5" fillId="0" borderId="0" xfId="0" applyNumberFormat="1" applyFont="1" applyFill="1" applyBorder="1" applyAlignment="1">
      <alignment horizontal="center"/>
    </xf>
    <xf numFmtId="169" fontId="3" fillId="0" borderId="0" xfId="0" applyNumberFormat="1" applyFont="1" applyFill="1" applyBorder="1"/>
    <xf numFmtId="164" fontId="8" fillId="0" borderId="1" xfId="0" applyNumberFormat="1" applyFont="1" applyFill="1" applyBorder="1" applyAlignment="1">
      <alignment horizontal="right" vertical="center" wrapText="1" indent="1"/>
    </xf>
    <xf numFmtId="170" fontId="22" fillId="0" borderId="0" xfId="4" applyNumberFormat="1" applyFont="1" applyFill="1" applyBorder="1" applyAlignment="1">
      <alignment horizontal="right"/>
    </xf>
    <xf numFmtId="164" fontId="8" fillId="0" borderId="1" xfId="0" applyNumberFormat="1" applyFont="1" applyFill="1" applyBorder="1" applyAlignment="1">
      <alignment horizontal="right" vertical="center" wrapText="1"/>
    </xf>
    <xf numFmtId="0" fontId="3" fillId="0" borderId="0" xfId="0" applyFont="1" applyFill="1" applyBorder="1" applyAlignment="1">
      <alignment vertical="center"/>
    </xf>
    <xf numFmtId="0" fontId="7" fillId="7" borderId="0" xfId="0" applyFont="1" applyFill="1" applyBorder="1" applyAlignment="1">
      <alignment horizontal="center" vertical="center"/>
    </xf>
    <xf numFmtId="166" fontId="3" fillId="0" borderId="0" xfId="0" applyNumberFormat="1" applyFont="1" applyFill="1" applyBorder="1" applyAlignment="1">
      <alignment horizontal="right" indent="1"/>
    </xf>
    <xf numFmtId="0" fontId="8" fillId="7" borderId="0" xfId="0" applyFont="1" applyFill="1" applyBorder="1"/>
    <xf numFmtId="2" fontId="3" fillId="0" borderId="0" xfId="0" applyNumberFormat="1" applyFont="1" applyFill="1" applyBorder="1"/>
    <xf numFmtId="169" fontId="3" fillId="5" borderId="16" xfId="0" applyNumberFormat="1" applyFont="1" applyFill="1" applyBorder="1" applyAlignment="1">
      <alignment horizontal="center" vertical="center"/>
    </xf>
    <xf numFmtId="171" fontId="3" fillId="0" borderId="0" xfId="0" applyNumberFormat="1" applyFont="1" applyFill="1" applyBorder="1"/>
    <xf numFmtId="0" fontId="23" fillId="0" borderId="0" xfId="0" applyFont="1" applyFill="1" applyBorder="1"/>
    <xf numFmtId="0" fontId="24" fillId="0" borderId="0" xfId="0" applyFont="1" applyFill="1" applyBorder="1" applyAlignment="1">
      <alignment vertical="center"/>
    </xf>
    <xf numFmtId="0" fontId="6" fillId="4"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4" borderId="26" xfId="0" applyFont="1" applyFill="1" applyBorder="1" applyAlignment="1">
      <alignment horizontal="center" vertical="center" wrapText="1"/>
    </xf>
    <xf numFmtId="0" fontId="26" fillId="0" borderId="0" xfId="0" applyFont="1" applyFill="1" applyBorder="1"/>
    <xf numFmtId="0" fontId="3" fillId="0" borderId="0" xfId="0" applyFont="1" applyFill="1" applyBorder="1" applyAlignment="1">
      <alignment horizontal="right"/>
    </xf>
    <xf numFmtId="0" fontId="3" fillId="0" borderId="0" xfId="0" quotePrefix="1" applyFont="1" applyFill="1" applyBorder="1" applyAlignment="1">
      <alignment horizontal="right"/>
    </xf>
    <xf numFmtId="173" fontId="8" fillId="4" borderId="1" xfId="0" applyNumberFormat="1" applyFont="1" applyFill="1" applyBorder="1" applyAlignment="1">
      <alignment horizontal="center"/>
    </xf>
    <xf numFmtId="173" fontId="8" fillId="5" borderId="1" xfId="0" applyNumberFormat="1" applyFont="1" applyFill="1" applyBorder="1" applyAlignment="1">
      <alignment horizontal="center"/>
    </xf>
    <xf numFmtId="0" fontId="5" fillId="0" borderId="0" xfId="0" applyFont="1" applyFill="1" applyBorder="1" applyAlignment="1">
      <alignment horizontal="right"/>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0" fontId="5" fillId="0" borderId="0" xfId="0" applyFont="1" applyFill="1" applyBorder="1" applyAlignment="1">
      <alignment horizontal="left"/>
    </xf>
    <xf numFmtId="1" fontId="3" fillId="4" borderId="15" xfId="0" applyNumberFormat="1"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8" fillId="4" borderId="15" xfId="0" applyNumberFormat="1" applyFont="1" applyFill="1" applyBorder="1" applyAlignment="1">
      <alignment horizontal="center" vertical="center" wrapText="1"/>
    </xf>
    <xf numFmtId="1" fontId="8" fillId="5" borderId="16" xfId="0" applyNumberFormat="1" applyFont="1" applyFill="1" applyBorder="1" applyAlignment="1">
      <alignment horizontal="center" vertical="center" wrapText="1"/>
    </xf>
    <xf numFmtId="1" fontId="3" fillId="0" borderId="0" xfId="0" applyNumberFormat="1" applyFont="1" applyFill="1" applyBorder="1"/>
    <xf numFmtId="0" fontId="3" fillId="4" borderId="15" xfId="0" applyFont="1" applyFill="1" applyBorder="1" applyAlignment="1">
      <alignment horizontal="center" vertical="center"/>
    </xf>
    <xf numFmtId="0" fontId="8" fillId="5" borderId="16" xfId="0" applyFont="1" applyFill="1" applyBorder="1" applyAlignment="1">
      <alignment horizontal="center" vertical="center"/>
    </xf>
    <xf numFmtId="169" fontId="16" fillId="0" borderId="0" xfId="0" applyNumberFormat="1" applyFont="1" applyFill="1" applyBorder="1"/>
    <xf numFmtId="164" fontId="3" fillId="4"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16" fillId="0" borderId="0" xfId="0" applyFont="1" applyFill="1" applyBorder="1" applyAlignment="1">
      <alignment horizontal="right"/>
    </xf>
    <xf numFmtId="164" fontId="8" fillId="5" borderId="1" xfId="0" applyNumberFormat="1" applyFont="1" applyFill="1" applyBorder="1" applyAlignment="1">
      <alignment horizontal="center"/>
    </xf>
    <xf numFmtId="0" fontId="8" fillId="0" borderId="0" xfId="0" applyFont="1" applyFill="1" applyBorder="1" applyAlignment="1">
      <alignment horizontal="right"/>
    </xf>
    <xf numFmtId="0" fontId="8" fillId="0" borderId="0" xfId="0" applyFont="1" applyFill="1" applyBorder="1" applyAlignment="1">
      <alignment horizontal="right" wrapText="1"/>
    </xf>
    <xf numFmtId="164" fontId="3" fillId="0" borderId="28" xfId="0" applyNumberFormat="1" applyFont="1" applyFill="1" applyBorder="1" applyAlignment="1">
      <alignment horizontal="center"/>
    </xf>
    <xf numFmtId="164" fontId="3" fillId="0" borderId="30" xfId="0" applyNumberFormat="1" applyFont="1" applyFill="1" applyBorder="1" applyAlignment="1">
      <alignment horizontal="center"/>
    </xf>
    <xf numFmtId="164" fontId="3" fillId="0" borderId="31" xfId="0" applyNumberFormat="1" applyFont="1" applyFill="1" applyBorder="1" applyAlignment="1">
      <alignment horizontal="center"/>
    </xf>
    <xf numFmtId="164" fontId="3" fillId="0" borderId="32" xfId="0" applyNumberFormat="1" applyFont="1" applyFill="1" applyBorder="1" applyAlignment="1">
      <alignment horizontal="center"/>
    </xf>
    <xf numFmtId="0" fontId="6" fillId="4" borderId="1" xfId="0" applyFont="1" applyFill="1" applyBorder="1" applyAlignment="1">
      <alignment horizontal="center" vertical="center" wrapText="1"/>
    </xf>
    <xf numFmtId="166" fontId="8" fillId="4" borderId="1" xfId="0" applyNumberFormat="1" applyFont="1" applyFill="1" applyBorder="1" applyAlignment="1">
      <alignment horizontal="center"/>
    </xf>
    <xf numFmtId="166" fontId="8" fillId="5" borderId="1" xfId="0" applyNumberFormat="1" applyFont="1" applyFill="1" applyBorder="1" applyAlignment="1">
      <alignment horizontal="center"/>
    </xf>
    <xf numFmtId="168" fontId="3" fillId="0" borderId="0" xfId="0" applyNumberFormat="1" applyFont="1" applyFill="1" applyBorder="1" applyAlignment="1">
      <alignment horizontal="center"/>
    </xf>
    <xf numFmtId="0" fontId="3" fillId="0" borderId="0" xfId="0" applyFont="1" applyFill="1" applyBorder="1" applyAlignment="1">
      <alignment horizontal="left" wrapText="1"/>
    </xf>
    <xf numFmtId="0" fontId="8" fillId="4" borderId="15" xfId="0" applyFont="1" applyFill="1" applyBorder="1" applyAlignment="1">
      <alignment horizontal="center" vertical="center" wrapText="1"/>
    </xf>
    <xf numFmtId="0" fontId="3" fillId="0" borderId="13" xfId="0" applyFont="1" applyFill="1" applyBorder="1" applyAlignment="1">
      <alignment horizontal="center" wrapText="1"/>
    </xf>
    <xf numFmtId="0" fontId="8" fillId="4" borderId="22" xfId="0" applyFont="1" applyFill="1" applyBorder="1" applyAlignment="1">
      <alignment horizontal="center" vertical="center" wrapText="1"/>
    </xf>
    <xf numFmtId="0" fontId="3" fillId="5" borderId="39" xfId="0" applyFont="1" applyFill="1" applyBorder="1" applyAlignment="1">
      <alignment horizontal="center" vertical="top" wrapText="1"/>
    </xf>
    <xf numFmtId="0" fontId="3" fillId="4" borderId="36" xfId="0" applyFont="1" applyFill="1" applyBorder="1" applyAlignment="1">
      <alignment horizontal="center" wrapText="1"/>
    </xf>
    <xf numFmtId="0" fontId="31" fillId="4" borderId="17"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5" borderId="22" xfId="0" applyFont="1" applyFill="1" applyBorder="1" applyAlignment="1">
      <alignment horizontal="center" vertical="center" wrapText="1"/>
    </xf>
    <xf numFmtId="164" fontId="8" fillId="0" borderId="22" xfId="0" applyNumberFormat="1" applyFont="1" applyFill="1" applyBorder="1" applyAlignment="1">
      <alignment vertical="center" wrapText="1"/>
    </xf>
    <xf numFmtId="166" fontId="3" fillId="0" borderId="0" xfId="0" applyNumberFormat="1" applyFont="1" applyFill="1" applyBorder="1" applyAlignment="1"/>
    <xf numFmtId="0" fontId="3" fillId="0" borderId="0" xfId="0" applyFont="1" applyFill="1" applyBorder="1" applyAlignment="1"/>
    <xf numFmtId="0" fontId="19" fillId="0" borderId="0" xfId="0" applyFont="1" applyFill="1" applyBorder="1" applyAlignment="1"/>
    <xf numFmtId="164" fontId="8" fillId="4" borderId="22" xfId="0" applyNumberFormat="1" applyFont="1" applyFill="1" applyBorder="1" applyAlignment="1">
      <alignment vertical="center"/>
    </xf>
    <xf numFmtId="164" fontId="8" fillId="4" borderId="23" xfId="0" applyNumberFormat="1" applyFont="1" applyFill="1" applyBorder="1" applyAlignment="1">
      <alignment vertical="center" wrapText="1"/>
    </xf>
    <xf numFmtId="1" fontId="3" fillId="4" borderId="36" xfId="0" applyNumberFormat="1" applyFont="1" applyFill="1" applyBorder="1" applyAlignment="1">
      <alignment horizontal="center" vertical="center" wrapText="1"/>
    </xf>
    <xf numFmtId="0" fontId="6" fillId="5" borderId="38" xfId="0" applyFont="1" applyFill="1" applyBorder="1" applyAlignment="1">
      <alignment horizontal="center" vertical="center" wrapText="1"/>
    </xf>
    <xf numFmtId="0" fontId="29" fillId="5" borderId="38" xfId="0" applyFont="1" applyFill="1" applyBorder="1" applyAlignment="1">
      <alignment horizontal="center" vertical="center" wrapText="1"/>
    </xf>
    <xf numFmtId="169" fontId="3" fillId="5" borderId="38" xfId="0" applyNumberFormat="1" applyFont="1" applyFill="1" applyBorder="1" applyAlignment="1">
      <alignment horizontal="center" vertical="center" wrapText="1"/>
    </xf>
    <xf numFmtId="0" fontId="3" fillId="3" borderId="13" xfId="0" applyFont="1" applyFill="1" applyBorder="1" applyAlignment="1">
      <alignment vertical="top" wrapText="1"/>
    </xf>
    <xf numFmtId="0" fontId="3" fillId="3" borderId="1" xfId="0" applyFont="1" applyFill="1" applyBorder="1" applyAlignment="1">
      <alignment horizontal="left" vertical="top" wrapText="1"/>
    </xf>
    <xf numFmtId="0" fontId="32" fillId="0" borderId="0" xfId="0" applyFont="1" applyFill="1" applyBorder="1"/>
    <xf numFmtId="0" fontId="3" fillId="0" borderId="1" xfId="0" applyFont="1" applyFill="1" applyBorder="1" applyAlignment="1">
      <alignment horizontal="left" vertical="center" wrapText="1"/>
    </xf>
    <xf numFmtId="0" fontId="3" fillId="0" borderId="0" xfId="0" applyFont="1" applyFill="1" applyBorder="1" applyAlignment="1">
      <alignment horizontal="left"/>
    </xf>
    <xf numFmtId="167" fontId="8" fillId="0" borderId="0" xfId="0" applyNumberFormat="1" applyFont="1" applyFill="1" applyBorder="1" applyAlignment="1">
      <alignment horizontal="center"/>
    </xf>
    <xf numFmtId="164" fontId="8" fillId="0" borderId="1" xfId="0" applyNumberFormat="1" applyFont="1" applyFill="1" applyBorder="1" applyAlignment="1">
      <alignment vertical="center" wrapText="1"/>
    </xf>
    <xf numFmtId="0" fontId="8" fillId="0" borderId="22" xfId="0" applyFont="1" applyFill="1" applyBorder="1" applyAlignment="1">
      <alignment vertical="center"/>
    </xf>
    <xf numFmtId="0" fontId="26" fillId="0" borderId="0" xfId="0" applyFont="1" applyFill="1" applyBorder="1" applyAlignment="1">
      <alignment wrapText="1"/>
    </xf>
    <xf numFmtId="0" fontId="26" fillId="0" borderId="45" xfId="0" applyFont="1" applyFill="1" applyBorder="1" applyAlignment="1">
      <alignment wrapText="1"/>
    </xf>
    <xf numFmtId="0" fontId="26" fillId="0" borderId="0" xfId="0" applyFont="1" applyFill="1" applyBorder="1" applyAlignment="1">
      <alignment vertical="top" wrapText="1"/>
    </xf>
    <xf numFmtId="1" fontId="30" fillId="5" borderId="18" xfId="0" applyNumberFormat="1" applyFont="1" applyFill="1" applyBorder="1" applyAlignment="1">
      <alignment horizontal="center" vertical="center" wrapText="1"/>
    </xf>
    <xf numFmtId="0" fontId="29"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169" fontId="6" fillId="5" borderId="16" xfId="0" applyNumberFormat="1" applyFont="1" applyFill="1" applyBorder="1" applyAlignment="1">
      <alignment horizontal="center" vertical="center"/>
    </xf>
    <xf numFmtId="169" fontId="29" fillId="5" borderId="18" xfId="0" applyNumberFormat="1" applyFont="1" applyFill="1" applyBorder="1" applyAlignment="1">
      <alignment horizontal="center" vertical="center"/>
    </xf>
    <xf numFmtId="0" fontId="6" fillId="4" borderId="15" xfId="0" applyFont="1" applyFill="1" applyBorder="1" applyAlignment="1">
      <alignment horizontal="center" vertical="center" wrapText="1"/>
    </xf>
    <xf numFmtId="169" fontId="6" fillId="5" borderId="27" xfId="0" applyNumberFormat="1" applyFont="1" applyFill="1" applyBorder="1" applyAlignment="1">
      <alignment horizontal="center" vertical="center"/>
    </xf>
    <xf numFmtId="1" fontId="3" fillId="5" borderId="38" xfId="0" applyNumberFormat="1" applyFont="1" applyFill="1" applyBorder="1" applyAlignment="1">
      <alignment horizontal="center" vertical="center" wrapText="1"/>
    </xf>
    <xf numFmtId="0" fontId="29" fillId="4" borderId="17" xfId="0" applyFont="1" applyFill="1" applyBorder="1" applyAlignment="1">
      <alignment horizontal="center" vertical="center" wrapText="1"/>
    </xf>
    <xf numFmtId="0" fontId="6" fillId="5" borderId="14" xfId="0" applyFont="1" applyFill="1" applyBorder="1" applyAlignment="1">
      <alignment horizontal="center" vertical="center" wrapText="1"/>
    </xf>
    <xf numFmtId="169" fontId="30" fillId="5" borderId="18" xfId="0" applyNumberFormat="1" applyFont="1" applyFill="1" applyBorder="1" applyAlignment="1">
      <alignment horizontal="center" vertical="center" wrapText="1"/>
    </xf>
    <xf numFmtId="169" fontId="30" fillId="5" borderId="18" xfId="0" applyNumberFormat="1" applyFont="1" applyFill="1" applyBorder="1" applyAlignment="1">
      <alignment horizontal="center" vertical="center"/>
    </xf>
    <xf numFmtId="0" fontId="3" fillId="3" borderId="13" xfId="0" applyFont="1" applyFill="1" applyBorder="1" applyAlignment="1">
      <alignment horizontal="left" wrapText="1"/>
    </xf>
    <xf numFmtId="0" fontId="3" fillId="4" borderId="1" xfId="0" applyFont="1" applyFill="1" applyBorder="1" applyAlignment="1">
      <alignment horizontal="center" vertical="center"/>
    </xf>
    <xf numFmtId="0" fontId="3" fillId="5" borderId="14" xfId="0" applyFont="1" applyFill="1" applyBorder="1" applyAlignment="1">
      <alignment horizontal="center" vertical="center"/>
    </xf>
    <xf numFmtId="1" fontId="8" fillId="4" borderId="36" xfId="0" applyNumberFormat="1" applyFont="1" applyFill="1" applyBorder="1" applyAlignment="1">
      <alignment horizontal="center" vertical="center" wrapText="1"/>
    </xf>
    <xf numFmtId="1" fontId="8" fillId="5" borderId="38"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0" fillId="0" borderId="0" xfId="0" applyFont="1" applyFill="1" applyBorder="1"/>
    <xf numFmtId="1" fontId="30" fillId="4" borderId="17" xfId="0" applyNumberFormat="1" applyFont="1" applyFill="1" applyBorder="1" applyAlignment="1">
      <alignment horizontal="center" vertical="center" wrapText="1"/>
    </xf>
    <xf numFmtId="172" fontId="31" fillId="5" borderId="18" xfId="0" applyNumberFormat="1" applyFont="1" applyFill="1" applyBorder="1" applyAlignment="1">
      <alignment horizontal="center" vertical="center" wrapText="1"/>
    </xf>
    <xf numFmtId="1" fontId="34" fillId="0" borderId="0" xfId="0" applyNumberFormat="1" applyFont="1" applyAlignment="1">
      <alignment horizontal="center"/>
    </xf>
    <xf numFmtId="0" fontId="28" fillId="0" borderId="0" xfId="0" applyFont="1"/>
    <xf numFmtId="0" fontId="6" fillId="4" borderId="36"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9" fillId="4" borderId="26" xfId="0" applyFont="1" applyFill="1" applyBorder="1" applyAlignment="1">
      <alignment horizontal="center" vertical="center" wrapText="1"/>
    </xf>
    <xf numFmtId="0" fontId="29" fillId="5" borderId="27" xfId="0" applyFont="1" applyFill="1" applyBorder="1" applyAlignment="1">
      <alignment horizontal="center" vertical="center" wrapText="1"/>
    </xf>
    <xf numFmtId="172" fontId="8" fillId="5" borderId="38" xfId="0" applyNumberFormat="1" applyFont="1" applyFill="1" applyBorder="1" applyAlignment="1">
      <alignment horizontal="center" wrapText="1"/>
    </xf>
    <xf numFmtId="1" fontId="3" fillId="4" borderId="36" xfId="0" applyNumberFormat="1" applyFont="1" applyFill="1" applyBorder="1" applyAlignment="1">
      <alignment horizontal="center" wrapText="1"/>
    </xf>
    <xf numFmtId="169" fontId="3" fillId="5" borderId="38" xfId="0" applyNumberFormat="1" applyFont="1" applyFill="1" applyBorder="1" applyAlignment="1">
      <alignment horizontal="center"/>
    </xf>
    <xf numFmtId="0" fontId="3" fillId="8" borderId="0" xfId="0" applyFont="1" applyFill="1" applyBorder="1"/>
    <xf numFmtId="0" fontId="3" fillId="8" borderId="15" xfId="0" applyFont="1" applyFill="1" applyBorder="1" applyAlignment="1">
      <alignment horizontal="right" wrapText="1" indent="1"/>
    </xf>
    <xf numFmtId="0" fontId="30" fillId="8" borderId="17" xfId="0" applyFont="1" applyFill="1" applyBorder="1" applyAlignment="1">
      <alignment horizontal="right" wrapText="1" indent="1"/>
    </xf>
    <xf numFmtId="0" fontId="30" fillId="8" borderId="17" xfId="0" applyFont="1" applyFill="1" applyBorder="1" applyAlignment="1">
      <alignment horizontal="justify" vertical="top" wrapText="1"/>
    </xf>
    <xf numFmtId="0" fontId="31" fillId="8" borderId="17" xfId="0" applyFont="1" applyFill="1" applyBorder="1" applyAlignment="1">
      <alignment horizontal="justify" vertical="top" wrapText="1"/>
    </xf>
    <xf numFmtId="1" fontId="30" fillId="4" borderId="7" xfId="0" applyNumberFormat="1" applyFont="1" applyFill="1" applyBorder="1" applyAlignment="1">
      <alignment horizontal="center" vertical="center" wrapText="1"/>
    </xf>
    <xf numFmtId="1" fontId="31" fillId="4" borderId="17" xfId="0" applyNumberFormat="1" applyFont="1" applyFill="1" applyBorder="1" applyAlignment="1">
      <alignment horizontal="center" vertical="center"/>
    </xf>
    <xf numFmtId="0" fontId="31" fillId="5" borderId="18" xfId="0" applyFont="1" applyFill="1" applyBorder="1" applyAlignment="1">
      <alignment horizontal="center" vertical="center"/>
    </xf>
    <xf numFmtId="0" fontId="3" fillId="4" borderId="15" xfId="0" applyFont="1" applyFill="1" applyBorder="1" applyAlignment="1">
      <alignment horizontal="center" vertical="center" wrapText="1"/>
    </xf>
    <xf numFmtId="0" fontId="3" fillId="4" borderId="36" xfId="0" applyFont="1" applyFill="1" applyBorder="1" applyAlignment="1">
      <alignment horizontal="center" vertical="center" wrapText="1"/>
    </xf>
    <xf numFmtId="169" fontId="3" fillId="5" borderId="16" xfId="0" applyNumberFormat="1" applyFont="1" applyFill="1" applyBorder="1" applyAlignment="1">
      <alignment horizontal="center" vertical="center" wrapText="1"/>
    </xf>
    <xf numFmtId="169" fontId="30" fillId="4" borderId="36" xfId="0" applyNumberFormat="1"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5" borderId="40" xfId="0" applyFont="1" applyFill="1" applyBorder="1" applyAlignment="1">
      <alignment horizontal="center" vertical="top" wrapText="1"/>
    </xf>
    <xf numFmtId="0" fontId="8" fillId="5" borderId="38" xfId="0" applyFont="1" applyFill="1" applyBorder="1" applyAlignment="1">
      <alignment horizontal="center" vertical="center"/>
    </xf>
    <xf numFmtId="0" fontId="8" fillId="0" borderId="1" xfId="0" applyFont="1" applyFill="1" applyBorder="1" applyAlignment="1">
      <alignment horizontal="left" vertical="center" wrapText="1"/>
    </xf>
    <xf numFmtId="0" fontId="29" fillId="4" borderId="36" xfId="0" applyFont="1" applyFill="1" applyBorder="1" applyAlignment="1">
      <alignment horizontal="center" vertical="center"/>
    </xf>
    <xf numFmtId="0" fontId="29" fillId="5" borderId="38" xfId="0" applyFont="1" applyFill="1" applyBorder="1" applyAlignment="1">
      <alignment horizontal="center" vertical="center"/>
    </xf>
    <xf numFmtId="0" fontId="8" fillId="5" borderId="16"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0" fillId="5" borderId="38" xfId="0" applyFont="1" applyFill="1" applyBorder="1" applyAlignment="1">
      <alignment horizontal="center" vertical="center" wrapText="1"/>
    </xf>
    <xf numFmtId="0" fontId="3" fillId="4" borderId="36" xfId="0" applyFont="1" applyFill="1" applyBorder="1" applyAlignment="1">
      <alignment horizontal="center" vertical="top" wrapText="1"/>
    </xf>
    <xf numFmtId="0" fontId="30" fillId="4" borderId="36" xfId="0" applyFont="1" applyFill="1" applyBorder="1" applyAlignment="1">
      <alignment horizontal="center" vertical="top" wrapText="1"/>
    </xf>
    <xf numFmtId="0" fontId="30" fillId="5" borderId="40" xfId="0" applyFont="1" applyFill="1" applyBorder="1" applyAlignment="1">
      <alignment horizontal="center" vertical="top" wrapText="1"/>
    </xf>
    <xf numFmtId="0" fontId="30" fillId="4" borderId="17" xfId="0" applyFont="1" applyFill="1" applyBorder="1" applyAlignment="1">
      <alignment horizontal="center" vertical="top" wrapText="1"/>
    </xf>
    <xf numFmtId="0" fontId="30" fillId="5" borderId="41" xfId="0" applyFont="1" applyFill="1" applyBorder="1" applyAlignment="1">
      <alignment horizontal="center" vertical="top" wrapText="1"/>
    </xf>
    <xf numFmtId="0" fontId="30" fillId="4" borderId="5" xfId="0" applyFont="1" applyFill="1" applyBorder="1" applyAlignment="1">
      <alignment horizontal="center" vertical="top" wrapText="1"/>
    </xf>
    <xf numFmtId="0" fontId="30" fillId="4" borderId="7" xfId="0" applyFont="1" applyFill="1" applyBorder="1" applyAlignment="1">
      <alignment horizontal="center" vertical="top" wrapText="1"/>
    </xf>
    <xf numFmtId="0" fontId="3" fillId="5" borderId="38" xfId="0" applyFont="1" applyFill="1" applyBorder="1" applyAlignment="1">
      <alignment horizontal="center" vertical="top" wrapText="1"/>
    </xf>
    <xf numFmtId="0" fontId="35" fillId="0" borderId="0" xfId="0" applyFont="1" applyFill="1" applyBorder="1"/>
    <xf numFmtId="0" fontId="31" fillId="5" borderId="38" xfId="0" applyFont="1" applyFill="1" applyBorder="1" applyAlignment="1">
      <alignment horizontal="center" vertical="center"/>
    </xf>
    <xf numFmtId="169" fontId="30" fillId="4" borderId="17" xfId="0" applyNumberFormat="1" applyFont="1" applyFill="1" applyBorder="1" applyAlignment="1">
      <alignment horizontal="center" vertical="center"/>
    </xf>
    <xf numFmtId="0" fontId="3" fillId="8" borderId="2" xfId="0" applyFont="1" applyFill="1" applyBorder="1" applyAlignment="1">
      <alignment vertical="top" wrapText="1"/>
    </xf>
    <xf numFmtId="0" fontId="3" fillId="8" borderId="4" xfId="0" applyFont="1" applyFill="1" applyBorder="1" applyAlignment="1">
      <alignment vertical="top" wrapText="1"/>
    </xf>
    <xf numFmtId="0" fontId="3" fillId="8" borderId="5" xfId="0" applyFont="1" applyFill="1" applyBorder="1" applyAlignment="1">
      <alignment vertical="center" wrapText="1"/>
    </xf>
    <xf numFmtId="0" fontId="3" fillId="8" borderId="6" xfId="0" applyFont="1" applyFill="1" applyBorder="1" applyAlignment="1">
      <alignment vertical="top" wrapText="1"/>
    </xf>
    <xf numFmtId="0" fontId="3" fillId="8" borderId="7" xfId="0" applyFont="1" applyFill="1" applyBorder="1" applyAlignment="1">
      <alignment vertical="top" wrapText="1"/>
    </xf>
    <xf numFmtId="0" fontId="3" fillId="8" borderId="9" xfId="0" applyFont="1" applyFill="1" applyBorder="1" applyAlignment="1">
      <alignment vertical="top" wrapText="1"/>
    </xf>
    <xf numFmtId="0" fontId="3" fillId="8" borderId="5" xfId="0" applyFont="1" applyFill="1" applyBorder="1" applyAlignment="1">
      <alignment vertical="top" wrapText="1"/>
    </xf>
    <xf numFmtId="169" fontId="30" fillId="4" borderId="17" xfId="0" applyNumberFormat="1" applyFont="1" applyFill="1" applyBorder="1" applyAlignment="1">
      <alignment horizontal="center" vertical="top" wrapText="1"/>
    </xf>
    <xf numFmtId="0" fontId="30" fillId="8" borderId="17" xfId="0" applyFont="1" applyFill="1" applyBorder="1" applyAlignment="1">
      <alignment vertical="top" wrapText="1"/>
    </xf>
    <xf numFmtId="0" fontId="8" fillId="8" borderId="15" xfId="0" applyFont="1" applyFill="1" applyBorder="1" applyAlignment="1">
      <alignment vertical="top" wrapText="1"/>
    </xf>
    <xf numFmtId="0" fontId="31" fillId="8" borderId="7" xfId="0" applyFont="1" applyFill="1" applyBorder="1" applyAlignment="1">
      <alignment vertical="top" wrapText="1"/>
    </xf>
    <xf numFmtId="0" fontId="31" fillId="8" borderId="36" xfId="0" applyFont="1" applyFill="1" applyBorder="1" applyAlignment="1">
      <alignment vertical="top" wrapText="1"/>
    </xf>
    <xf numFmtId="0" fontId="30" fillId="5" borderId="41"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0" fillId="0" borderId="0" xfId="0" applyFont="1" applyFill="1" applyBorder="1" applyAlignment="1">
      <alignment horizontal="right" indent="1"/>
    </xf>
    <xf numFmtId="166" fontId="30" fillId="0" borderId="5" xfId="0" applyNumberFormat="1" applyFont="1" applyFill="1" applyBorder="1" applyAlignment="1"/>
    <xf numFmtId="0" fontId="33" fillId="0" borderId="5" xfId="0" applyFont="1" applyFill="1" applyBorder="1" applyAlignment="1"/>
    <xf numFmtId="0" fontId="8" fillId="5" borderId="38" xfId="0" applyFont="1" applyFill="1" applyBorder="1" applyAlignment="1">
      <alignment horizontal="center" vertical="center" wrapText="1"/>
    </xf>
    <xf numFmtId="0" fontId="3" fillId="4" borderId="36" xfId="0" applyFont="1" applyFill="1" applyBorder="1" applyAlignment="1">
      <alignment horizontal="center" vertical="center"/>
    </xf>
    <xf numFmtId="0" fontId="3" fillId="8" borderId="37" xfId="0" applyFont="1" applyFill="1" applyBorder="1" applyAlignment="1">
      <alignment horizontal="right" vertical="top" wrapText="1" indent="1"/>
    </xf>
    <xf numFmtId="0" fontId="31" fillId="8" borderId="20" xfId="0" applyFont="1" applyFill="1" applyBorder="1" applyAlignment="1">
      <alignment horizontal="right" vertical="top" wrapText="1" indent="1"/>
    </xf>
    <xf numFmtId="0" fontId="30" fillId="8" borderId="42" xfId="0" applyFont="1" applyFill="1" applyBorder="1" applyAlignment="1">
      <alignment horizontal="right" vertical="top" wrapText="1" indent="1"/>
    </xf>
    <xf numFmtId="0" fontId="8" fillId="8" borderId="19" xfId="0" applyFont="1" applyFill="1" applyBorder="1" applyAlignment="1">
      <alignment horizontal="right" vertical="top" wrapText="1" indent="1"/>
    </xf>
    <xf numFmtId="0" fontId="30" fillId="4" borderId="26"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 fillId="8" borderId="19" xfId="0" applyFont="1" applyFill="1" applyBorder="1" applyAlignment="1">
      <alignment horizontal="right" vertical="top" wrapText="1" indent="1"/>
    </xf>
    <xf numFmtId="0" fontId="30" fillId="8" borderId="20" xfId="0" applyFont="1" applyFill="1" applyBorder="1" applyAlignment="1">
      <alignment horizontal="right" vertical="top" wrapText="1" indent="1"/>
    </xf>
    <xf numFmtId="0" fontId="30" fillId="0" borderId="0" xfId="0" applyFont="1" applyFill="1" applyBorder="1" applyAlignment="1">
      <alignment horizontal="left"/>
    </xf>
    <xf numFmtId="0" fontId="3" fillId="0" borderId="1" xfId="0" applyFont="1" applyFill="1" applyBorder="1" applyAlignment="1">
      <alignment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8" borderId="15" xfId="0" applyFont="1" applyFill="1" applyBorder="1" applyAlignment="1">
      <alignment horizontal="justify" vertical="top" wrapText="1"/>
    </xf>
    <xf numFmtId="0" fontId="3" fillId="0" borderId="19" xfId="0" applyFont="1" applyFill="1" applyBorder="1" applyAlignment="1">
      <alignment horizontal="center" vertical="top"/>
    </xf>
    <xf numFmtId="0" fontId="3" fillId="0" borderId="37" xfId="0" applyFont="1" applyFill="1" applyBorder="1" applyAlignment="1">
      <alignment horizontal="center" vertical="top"/>
    </xf>
    <xf numFmtId="0" fontId="3" fillId="0" borderId="20" xfId="0" applyFont="1" applyFill="1" applyBorder="1" applyAlignment="1">
      <alignment horizontal="center" vertical="top"/>
    </xf>
    <xf numFmtId="164" fontId="8" fillId="4"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8"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6" fillId="0" borderId="0" xfId="0" applyFont="1"/>
    <xf numFmtId="0" fontId="37" fillId="0" borderId="0" xfId="1" applyFont="1" applyFill="1" applyBorder="1" applyAlignment="1" applyProtection="1"/>
    <xf numFmtId="0" fontId="37" fillId="0" borderId="0" xfId="1" applyFont="1" applyFill="1" applyBorder="1"/>
    <xf numFmtId="0" fontId="26" fillId="0" borderId="0" xfId="0" applyFont="1" applyBorder="1" applyAlignment="1">
      <alignment wrapText="1"/>
    </xf>
    <xf numFmtId="0" fontId="32" fillId="0" borderId="0" xfId="0" applyFont="1" applyBorder="1" applyAlignment="1">
      <alignment horizontal="left" wrapText="1"/>
    </xf>
    <xf numFmtId="0" fontId="35" fillId="0" borderId="0" xfId="0" applyFont="1" applyFill="1"/>
    <xf numFmtId="1" fontId="35" fillId="0" borderId="0" xfId="0" applyNumberFormat="1" applyFont="1" applyFill="1" applyAlignment="1">
      <alignment horizontal="center"/>
    </xf>
    <xf numFmtId="0" fontId="36" fillId="0" borderId="0" xfId="0" applyFont="1" applyFill="1"/>
    <xf numFmtId="164" fontId="36" fillId="0" borderId="1" xfId="0" applyNumberFormat="1" applyFont="1" applyFill="1" applyBorder="1" applyAlignment="1">
      <alignment horizontal="right" vertical="center" indent="1"/>
    </xf>
    <xf numFmtId="0" fontId="9" fillId="0" borderId="0" xfId="3" applyFont="1" applyFill="1" applyBorder="1"/>
    <xf numFmtId="166" fontId="36" fillId="0" borderId="0" xfId="0" applyNumberFormat="1" applyFont="1"/>
    <xf numFmtId="169" fontId="36" fillId="0" borderId="0" xfId="0" applyNumberFormat="1" applyFont="1"/>
    <xf numFmtId="0" fontId="30" fillId="0" borderId="0" xfId="0" applyFont="1" applyFill="1" applyBorder="1" applyAlignment="1"/>
    <xf numFmtId="0" fontId="6" fillId="2" borderId="25" xfId="0" applyFont="1" applyFill="1" applyBorder="1" applyAlignment="1">
      <alignment horizontal="left" vertical="center"/>
    </xf>
    <xf numFmtId="0" fontId="14" fillId="2" borderId="23" xfId="0" applyFont="1" applyFill="1" applyBorder="1" applyAlignment="1">
      <alignment horizontal="left" vertical="center"/>
    </xf>
    <xf numFmtId="0" fontId="3" fillId="5" borderId="16" xfId="0" applyFont="1" applyFill="1" applyBorder="1" applyAlignment="1">
      <alignment horizontal="center" vertical="top" wrapText="1"/>
    </xf>
    <xf numFmtId="0" fontId="30" fillId="5" borderId="38" xfId="0" applyFont="1" applyFill="1" applyBorder="1" applyAlignment="1">
      <alignment horizontal="center" vertical="top" wrapText="1"/>
    </xf>
    <xf numFmtId="0" fontId="30" fillId="5" borderId="18" xfId="0" applyFont="1" applyFill="1" applyBorder="1" applyAlignment="1">
      <alignment horizontal="center" vertical="top" wrapText="1"/>
    </xf>
    <xf numFmtId="0" fontId="30" fillId="0" borderId="0" xfId="0" applyFont="1" applyFill="1" applyBorder="1" applyAlignment="1">
      <alignment horizontal="left" wrapText="1"/>
    </xf>
    <xf numFmtId="0" fontId="13" fillId="0" borderId="2" xfId="0" applyFont="1" applyBorder="1"/>
    <xf numFmtId="0" fontId="13" fillId="0" borderId="3" xfId="0" applyFont="1" applyBorder="1"/>
    <xf numFmtId="0" fontId="36" fillId="0" borderId="4" xfId="0" applyFont="1" applyBorder="1"/>
    <xf numFmtId="0" fontId="38" fillId="2" borderId="6" xfId="0" applyFont="1" applyFill="1" applyBorder="1" applyAlignment="1">
      <alignment horizontal="left" indent="2"/>
    </xf>
    <xf numFmtId="0" fontId="13" fillId="0" borderId="5" xfId="0" applyFont="1" applyBorder="1"/>
    <xf numFmtId="0" fontId="13" fillId="0" borderId="0" xfId="0" applyFont="1" applyBorder="1"/>
    <xf numFmtId="0" fontId="36" fillId="0" borderId="6" xfId="0" applyFont="1" applyBorder="1"/>
    <xf numFmtId="0" fontId="39" fillId="0" borderId="6" xfId="0" applyFont="1" applyBorder="1" applyAlignment="1"/>
    <xf numFmtId="14" fontId="36" fillId="0" borderId="0" xfId="0" applyNumberFormat="1" applyFont="1"/>
    <xf numFmtId="0" fontId="40" fillId="2" borderId="6" xfId="0" applyFont="1" applyFill="1" applyBorder="1" applyAlignment="1"/>
    <xf numFmtId="0" fontId="13" fillId="0" borderId="0" xfId="1" applyFont="1" applyBorder="1" applyAlignment="1" applyProtection="1">
      <alignment horizontal="justify" vertical="top" wrapText="1"/>
    </xf>
    <xf numFmtId="0" fontId="39" fillId="0" borderId="6" xfId="1" applyFont="1" applyBorder="1" applyAlignment="1" applyProtection="1">
      <alignment horizontal="justify" vertical="top" wrapText="1"/>
    </xf>
    <xf numFmtId="0" fontId="43" fillId="2" borderId="6" xfId="0" applyFont="1" applyFill="1" applyBorder="1" applyAlignment="1"/>
    <xf numFmtId="0" fontId="4" fillId="0" borderId="0" xfId="1" applyFont="1" applyBorder="1" applyAlignment="1" applyProtection="1"/>
    <xf numFmtId="0" fontId="41" fillId="0" borderId="5" xfId="0" applyFont="1" applyBorder="1"/>
    <xf numFmtId="0" fontId="44" fillId="0" borderId="0" xfId="1" applyFont="1" applyBorder="1" applyAlignment="1" applyProtection="1"/>
    <xf numFmtId="0" fontId="13" fillId="0" borderId="6" xfId="0" applyFont="1" applyBorder="1"/>
    <xf numFmtId="0" fontId="13" fillId="0" borderId="7" xfId="0" applyFont="1" applyBorder="1"/>
    <xf numFmtId="0" fontId="13" fillId="0" borderId="8" xfId="0" applyFont="1" applyBorder="1"/>
    <xf numFmtId="0" fontId="36" fillId="0" borderId="9" xfId="0" applyFont="1" applyBorder="1"/>
    <xf numFmtId="0" fontId="13" fillId="0" borderId="0" xfId="0" applyFont="1"/>
    <xf numFmtId="0" fontId="8" fillId="0" borderId="1" xfId="0" applyFont="1" applyFill="1" applyBorder="1" applyAlignment="1">
      <alignment horizontal="left" vertical="center"/>
    </xf>
    <xf numFmtId="0" fontId="3" fillId="0" borderId="1" xfId="0" applyFont="1" applyFill="1" applyBorder="1" applyAlignment="1">
      <alignment vertical="center" wrapText="1"/>
    </xf>
    <xf numFmtId="1" fontId="47" fillId="4" borderId="15" xfId="0" applyNumberFormat="1" applyFont="1" applyFill="1" applyBorder="1" applyAlignment="1">
      <alignment horizontal="center" vertical="center" wrapText="1"/>
    </xf>
    <xf numFmtId="1" fontId="47" fillId="5" borderId="16" xfId="0" applyNumberFormat="1" applyFont="1" applyFill="1" applyBorder="1" applyAlignment="1">
      <alignment horizontal="center" vertical="center" wrapText="1"/>
    </xf>
    <xf numFmtId="1" fontId="47" fillId="4" borderId="36" xfId="0" applyNumberFormat="1" applyFont="1" applyFill="1" applyBorder="1" applyAlignment="1">
      <alignment horizontal="center" vertical="center" wrapText="1"/>
    </xf>
    <xf numFmtId="1" fontId="47" fillId="5" borderId="38" xfId="0" applyNumberFormat="1" applyFont="1" applyFill="1" applyBorder="1" applyAlignment="1">
      <alignment horizontal="center" vertical="center" wrapText="1"/>
    </xf>
    <xf numFmtId="0" fontId="49" fillId="8" borderId="17" xfId="0" applyFont="1" applyFill="1" applyBorder="1" applyAlignment="1">
      <alignment horizontal="justify" vertical="top" wrapText="1"/>
    </xf>
    <xf numFmtId="1" fontId="49" fillId="4" borderId="17" xfId="0" applyNumberFormat="1" applyFont="1" applyFill="1" applyBorder="1" applyAlignment="1">
      <alignment horizontal="center" vertical="center" wrapText="1"/>
    </xf>
    <xf numFmtId="1" fontId="49" fillId="5" borderId="18" xfId="0" applyNumberFormat="1" applyFont="1" applyFill="1" applyBorder="1" applyAlignment="1">
      <alignment horizontal="center" vertical="center" wrapText="1"/>
    </xf>
    <xf numFmtId="0" fontId="47" fillId="8" borderId="36" xfId="0" applyFont="1" applyFill="1" applyBorder="1" applyAlignment="1">
      <alignment horizontal="justify" vertical="top" wrapText="1"/>
    </xf>
    <xf numFmtId="0" fontId="49" fillId="8" borderId="36" xfId="0" applyFont="1" applyFill="1" applyBorder="1" applyAlignment="1">
      <alignment horizontal="justify" vertical="top" wrapText="1"/>
    </xf>
    <xf numFmtId="1" fontId="9" fillId="4" borderId="36" xfId="0" applyNumberFormat="1" applyFont="1" applyFill="1" applyBorder="1" applyAlignment="1">
      <alignment horizontal="center" vertical="center" wrapText="1"/>
    </xf>
    <xf numFmtId="0" fontId="47" fillId="8" borderId="5" xfId="0" applyFont="1" applyFill="1" applyBorder="1" applyAlignment="1">
      <alignment vertical="top" wrapText="1"/>
    </xf>
    <xf numFmtId="0" fontId="47" fillId="8" borderId="6" xfId="0" applyFont="1" applyFill="1" applyBorder="1" applyAlignment="1">
      <alignment vertical="top" wrapText="1"/>
    </xf>
    <xf numFmtId="0" fontId="47" fillId="4" borderId="36"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49" fillId="8" borderId="0" xfId="0" applyFont="1" applyFill="1" applyBorder="1" applyAlignment="1">
      <alignment horizontal="left" vertical="top" wrapText="1"/>
    </xf>
    <xf numFmtId="169" fontId="49" fillId="4" borderId="36" xfId="0" applyNumberFormat="1" applyFont="1" applyFill="1" applyBorder="1" applyAlignment="1">
      <alignment horizontal="center" vertical="top" wrapText="1"/>
    </xf>
    <xf numFmtId="0" fontId="50" fillId="5" borderId="38" xfId="0" applyFont="1" applyFill="1" applyBorder="1" applyAlignment="1">
      <alignment horizontal="center" vertical="top" wrapText="1"/>
    </xf>
    <xf numFmtId="169" fontId="49" fillId="4" borderId="26" xfId="0" applyNumberFormat="1" applyFont="1" applyFill="1" applyBorder="1" applyAlignment="1">
      <alignment horizontal="center" vertical="top" wrapText="1"/>
    </xf>
    <xf numFmtId="0" fontId="31" fillId="5" borderId="18" xfId="0" applyFont="1" applyFill="1" applyBorder="1" applyAlignment="1">
      <alignment horizontal="center" vertical="top" wrapText="1"/>
    </xf>
    <xf numFmtId="168" fontId="3" fillId="0" borderId="29" xfId="0" applyNumberFormat="1" applyFont="1" applyFill="1" applyBorder="1" applyAlignment="1">
      <alignment horizontal="center"/>
    </xf>
    <xf numFmtId="168" fontId="3" fillId="0" borderId="28" xfId="0" applyNumberFormat="1" applyFont="1" applyFill="1" applyBorder="1" applyAlignment="1">
      <alignment horizontal="center"/>
    </xf>
    <xf numFmtId="0" fontId="37" fillId="0" borderId="0" xfId="1" applyFont="1" applyBorder="1" applyAlignment="1" applyProtection="1">
      <alignment horizontal="left" indent="1"/>
    </xf>
    <xf numFmtId="0" fontId="3" fillId="5" borderId="1" xfId="0" applyFont="1" applyFill="1" applyBorder="1" applyAlignment="1">
      <alignment horizontal="center" vertical="center" wrapText="1"/>
    </xf>
    <xf numFmtId="0" fontId="36" fillId="9" borderId="22" xfId="0" applyFont="1" applyFill="1" applyBorder="1" applyAlignment="1">
      <alignment horizontal="center"/>
    </xf>
    <xf numFmtId="0" fontId="36" fillId="9" borderId="25" xfId="0" applyFont="1" applyFill="1" applyBorder="1" applyAlignment="1">
      <alignment horizontal="center"/>
    </xf>
    <xf numFmtId="0" fontId="36" fillId="9" borderId="23" xfId="0" applyFont="1" applyFill="1" applyBorder="1" applyAlignment="1">
      <alignment horizontal="center"/>
    </xf>
    <xf numFmtId="0" fontId="45" fillId="0" borderId="5" xfId="0" applyFont="1" applyFill="1" applyBorder="1" applyAlignment="1">
      <alignment horizontal="center"/>
    </xf>
    <xf numFmtId="0" fontId="45" fillId="0" borderId="0" xfId="0" applyFont="1" applyFill="1" applyBorder="1" applyAlignment="1">
      <alignment horizontal="center"/>
    </xf>
    <xf numFmtId="0" fontId="38" fillId="2" borderId="5" xfId="0" applyFont="1" applyFill="1" applyBorder="1" applyAlignment="1">
      <alignment horizontal="left" indent="2"/>
    </xf>
    <xf numFmtId="0" fontId="38" fillId="2" borderId="0" xfId="0" applyFont="1" applyFill="1" applyBorder="1" applyAlignment="1">
      <alignment horizontal="left" indent="2"/>
    </xf>
    <xf numFmtId="0" fontId="6" fillId="3" borderId="13" xfId="0" applyFont="1" applyFill="1" applyBorder="1" applyAlignment="1">
      <alignment horizontal="right" vertical="top" wrapText="1" indent="2"/>
    </xf>
    <xf numFmtId="0" fontId="6" fillId="3" borderId="1" xfId="0" applyFont="1" applyFill="1" applyBorder="1" applyAlignment="1">
      <alignment horizontal="right" vertical="top" wrapText="1" indent="2"/>
    </xf>
    <xf numFmtId="0" fontId="6" fillId="3" borderId="14" xfId="0" applyFont="1" applyFill="1" applyBorder="1" applyAlignment="1">
      <alignment horizontal="right" vertical="top" wrapText="1" indent="2"/>
    </xf>
    <xf numFmtId="0" fontId="3" fillId="4" borderId="22" xfId="0" applyFont="1" applyFill="1" applyBorder="1" applyAlignment="1">
      <alignment horizontal="center" wrapText="1"/>
    </xf>
    <xf numFmtId="0" fontId="3" fillId="4" borderId="23" xfId="0" applyFont="1" applyFill="1" applyBorder="1" applyAlignment="1">
      <alignment horizontal="center" wrapText="1"/>
    </xf>
    <xf numFmtId="0" fontId="3" fillId="5" borderId="22" xfId="0" applyFont="1" applyFill="1" applyBorder="1" applyAlignment="1">
      <alignment horizontal="center" wrapText="1"/>
    </xf>
    <xf numFmtId="0" fontId="3" fillId="5" borderId="23" xfId="0" applyFont="1" applyFill="1" applyBorder="1" applyAlignment="1">
      <alignment horizontal="center" wrapText="1"/>
    </xf>
    <xf numFmtId="0" fontId="3" fillId="8" borderId="19" xfId="0" applyFont="1" applyFill="1" applyBorder="1" applyAlignment="1">
      <alignment horizontal="left" vertical="top" wrapText="1"/>
    </xf>
    <xf numFmtId="0" fontId="3" fillId="8" borderId="37" xfId="0" applyFont="1" applyFill="1" applyBorder="1" applyAlignment="1">
      <alignment horizontal="left" vertical="top" wrapText="1"/>
    </xf>
    <xf numFmtId="0" fontId="30" fillId="8" borderId="37" xfId="0" applyFont="1" applyFill="1" applyBorder="1" applyAlignment="1">
      <alignment horizontal="left" vertical="top" wrapText="1"/>
    </xf>
    <xf numFmtId="0" fontId="30" fillId="8" borderId="20" xfId="0" applyFont="1" applyFill="1" applyBorder="1" applyAlignment="1">
      <alignment horizontal="left" vertical="top" wrapText="1"/>
    </xf>
    <xf numFmtId="0" fontId="8" fillId="8" borderId="2" xfId="0" applyFont="1" applyFill="1" applyBorder="1" applyAlignment="1">
      <alignment horizontal="center" vertical="top" wrapText="1"/>
    </xf>
    <xf numFmtId="0" fontId="8" fillId="8" borderId="39" xfId="0" applyFont="1" applyFill="1" applyBorder="1" applyAlignment="1">
      <alignment horizontal="center" vertical="top" wrapText="1"/>
    </xf>
    <xf numFmtId="0" fontId="3" fillId="8" borderId="13" xfId="0" applyFont="1" applyFill="1" applyBorder="1" applyAlignment="1">
      <alignment horizontal="right" vertical="top" wrapText="1" indent="1"/>
    </xf>
    <xf numFmtId="0" fontId="3" fillId="8" borderId="19" xfId="0" applyFont="1" applyFill="1" applyBorder="1" applyAlignment="1">
      <alignment horizontal="right" vertical="top" wrapText="1" inden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3" fillId="0" borderId="22" xfId="0" applyFont="1" applyFill="1" applyBorder="1" applyAlignment="1">
      <alignment horizontal="center" wrapText="1"/>
    </xf>
    <xf numFmtId="0" fontId="3" fillId="0" borderId="35" xfId="0" applyFont="1" applyFill="1" applyBorder="1" applyAlignment="1">
      <alignment horizontal="center" wrapText="1"/>
    </xf>
    <xf numFmtId="0" fontId="30" fillId="8" borderId="20" xfId="0" applyFont="1" applyFill="1" applyBorder="1" applyAlignment="1">
      <alignment horizontal="right" vertical="top" wrapText="1" indent="1"/>
    </xf>
    <xf numFmtId="0" fontId="30" fillId="8" borderId="13" xfId="0" applyFont="1" applyFill="1" applyBorder="1" applyAlignment="1">
      <alignment horizontal="right" vertical="top" wrapText="1" indent="1"/>
    </xf>
    <xf numFmtId="0" fontId="31" fillId="8" borderId="7" xfId="0" applyFont="1" applyFill="1" applyBorder="1" applyAlignment="1">
      <alignment horizontal="center" vertical="top" wrapText="1"/>
    </xf>
    <xf numFmtId="0" fontId="31" fillId="8" borderId="41" xfId="0" applyFont="1" applyFill="1" applyBorder="1" applyAlignment="1">
      <alignment horizontal="center" vertical="top" wrapText="1"/>
    </xf>
    <xf numFmtId="0" fontId="6" fillId="2" borderId="46"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30" fillId="0" borderId="0" xfId="0" applyFont="1" applyFill="1" applyBorder="1" applyAlignment="1">
      <alignment horizontal="left"/>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5" xfId="0" applyFont="1" applyFill="1" applyBorder="1" applyAlignment="1">
      <alignment vertical="center" wrapText="1"/>
    </xf>
    <xf numFmtId="0" fontId="8" fillId="0" borderId="17" xfId="0" applyFont="1" applyFill="1" applyBorder="1" applyAlignment="1">
      <alignment vertical="center" wrapText="1"/>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 xfId="0" applyFont="1" applyFill="1" applyBorder="1" applyAlignment="1">
      <alignment vertical="center"/>
    </xf>
    <xf numFmtId="0" fontId="33" fillId="0" borderId="0" xfId="0" applyFont="1" applyFill="1" applyBorder="1" applyAlignment="1">
      <alignment horizontal="left"/>
    </xf>
    <xf numFmtId="0" fontId="3" fillId="0" borderId="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0" fillId="0" borderId="0" xfId="0" applyFont="1" applyFill="1" applyBorder="1" applyAlignment="1">
      <alignment horizontal="left" wrapText="1"/>
    </xf>
    <xf numFmtId="0" fontId="31" fillId="0" borderId="22" xfId="0" applyFont="1" applyFill="1" applyBorder="1" applyAlignment="1">
      <alignment horizontal="center" vertical="center" wrapText="1"/>
    </xf>
    <xf numFmtId="0" fontId="8" fillId="0" borderId="17" xfId="0" applyFont="1" applyFill="1" applyBorder="1" applyAlignment="1">
      <alignment vertical="center"/>
    </xf>
    <xf numFmtId="0" fontId="6" fillId="2" borderId="22"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center" vertical="center" wrapText="1"/>
    </xf>
    <xf numFmtId="0" fontId="30" fillId="0" borderId="5" xfId="0" applyFont="1" applyFill="1" applyBorder="1" applyAlignment="1">
      <alignment horizontal="left"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3" fillId="0" borderId="0" xfId="0" applyFont="1" applyFill="1" applyBorder="1" applyAlignment="1">
      <alignment horizontal="left"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0" borderId="15" xfId="0" applyFont="1" applyFill="1" applyBorder="1" applyAlignment="1">
      <alignment horizontal="left" vertical="center" wrapText="1" indent="1"/>
    </xf>
    <xf numFmtId="0" fontId="8" fillId="0" borderId="17" xfId="0" applyFont="1" applyFill="1" applyBorder="1" applyAlignment="1">
      <alignment horizontal="left" vertical="center" wrapText="1" indent="1"/>
    </xf>
    <xf numFmtId="0" fontId="8" fillId="0" borderId="17" xfId="0" applyFont="1" applyFill="1" applyBorder="1" applyAlignment="1">
      <alignment horizontal="left" vertical="center" indent="1"/>
    </xf>
    <xf numFmtId="0" fontId="3" fillId="0" borderId="19" xfId="0" applyFont="1" applyFill="1" applyBorder="1" applyAlignment="1">
      <alignment horizontal="center" vertical="top"/>
    </xf>
    <xf numFmtId="0" fontId="3" fillId="0" borderId="37" xfId="0" applyFont="1" applyFill="1" applyBorder="1" applyAlignment="1">
      <alignment horizontal="center" vertical="top"/>
    </xf>
    <xf numFmtId="0" fontId="3" fillId="0" borderId="42" xfId="0" applyFont="1" applyFill="1" applyBorder="1" applyAlignment="1">
      <alignment horizontal="center" vertical="top"/>
    </xf>
    <xf numFmtId="0" fontId="8" fillId="8" borderId="15" xfId="0" applyFont="1" applyFill="1" applyBorder="1" applyAlignment="1">
      <alignment horizontal="justify" vertical="top" wrapText="1"/>
    </xf>
    <xf numFmtId="0" fontId="8" fillId="8" borderId="36" xfId="0" applyFont="1" applyFill="1" applyBorder="1" applyAlignment="1">
      <alignment horizontal="justify" vertical="top" wrapText="1"/>
    </xf>
    <xf numFmtId="0" fontId="8" fillId="0" borderId="1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3" fillId="0" borderId="20" xfId="0" applyFont="1" applyFill="1" applyBorder="1" applyAlignment="1">
      <alignment horizontal="center" vertical="top"/>
    </xf>
    <xf numFmtId="0" fontId="3" fillId="8" borderId="15" xfId="0" applyFont="1" applyFill="1" applyBorder="1" applyAlignment="1">
      <alignment horizontal="justify" vertical="top" wrapText="1"/>
    </xf>
    <xf numFmtId="0" fontId="3" fillId="8" borderId="36" xfId="0" applyFont="1" applyFill="1" applyBorder="1" applyAlignment="1">
      <alignment horizontal="justify" vertical="top" wrapText="1"/>
    </xf>
    <xf numFmtId="0" fontId="3" fillId="0" borderId="36" xfId="0" applyFont="1" applyFill="1" applyBorder="1" applyAlignment="1">
      <alignment horizontal="center" vertical="center" wrapText="1"/>
    </xf>
    <xf numFmtId="0" fontId="29" fillId="8" borderId="36" xfId="0" applyFont="1" applyFill="1" applyBorder="1" applyAlignment="1">
      <alignment horizontal="left" vertical="top" wrapText="1"/>
    </xf>
    <xf numFmtId="0" fontId="29" fillId="8" borderId="26" xfId="0" applyFont="1" applyFill="1" applyBorder="1" applyAlignment="1">
      <alignment horizontal="left" vertical="top" wrapText="1"/>
    </xf>
    <xf numFmtId="0" fontId="37" fillId="0" borderId="0" xfId="1" applyFont="1" applyFill="1" applyBorder="1" applyAlignment="1" applyProtection="1">
      <alignment horizontal="left"/>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xf>
    <xf numFmtId="0" fontId="3" fillId="0" borderId="48" xfId="0" applyFont="1" applyFill="1" applyBorder="1" applyAlignment="1">
      <alignment horizontal="right" vertical="center" wrapText="1"/>
    </xf>
    <xf numFmtId="0" fontId="3" fillId="0" borderId="25" xfId="0" applyFont="1" applyFill="1" applyBorder="1" applyAlignment="1">
      <alignment horizontal="right" vertical="center" wrapText="1"/>
    </xf>
    <xf numFmtId="0" fontId="3" fillId="0" borderId="23" xfId="0" applyFont="1" applyFill="1" applyBorder="1" applyAlignment="1">
      <alignment horizontal="right" vertical="center" wrapText="1"/>
    </xf>
    <xf numFmtId="0" fontId="3" fillId="0" borderId="19" xfId="0" applyFont="1" applyFill="1" applyBorder="1" applyAlignment="1">
      <alignment horizontal="center"/>
    </xf>
    <xf numFmtId="0" fontId="3" fillId="0" borderId="20" xfId="0" applyFont="1" applyFill="1" applyBorder="1" applyAlignment="1">
      <alignment horizontal="center"/>
    </xf>
    <xf numFmtId="0" fontId="26" fillId="0" borderId="0" xfId="0" applyFont="1" applyFill="1" applyBorder="1" applyAlignment="1">
      <alignment horizontal="left" wrapText="1"/>
    </xf>
    <xf numFmtId="0" fontId="3" fillId="0" borderId="1" xfId="0" applyFont="1" applyFill="1" applyBorder="1" applyAlignment="1">
      <alignment horizontal="center"/>
    </xf>
    <xf numFmtId="173" fontId="8" fillId="0" borderId="1" xfId="0" applyNumberFormat="1" applyFont="1" applyFill="1" applyBorder="1" applyAlignment="1">
      <alignment horizontal="center"/>
    </xf>
    <xf numFmtId="0" fontId="3" fillId="8" borderId="2" xfId="0" applyFont="1" applyFill="1" applyBorder="1" applyAlignment="1">
      <alignment horizontal="center" wrapText="1"/>
    </xf>
    <xf numFmtId="0" fontId="3" fillId="8" borderId="39" xfId="0" applyFont="1" applyFill="1" applyBorder="1" applyAlignment="1">
      <alignment horizontal="center" wrapText="1"/>
    </xf>
    <xf numFmtId="173" fontId="3" fillId="0" borderId="1" xfId="0" applyNumberFormat="1" applyFont="1" applyFill="1" applyBorder="1" applyAlignment="1">
      <alignment horizontal="center"/>
    </xf>
    <xf numFmtId="0" fontId="6" fillId="8" borderId="15" xfId="0" applyFont="1" applyFill="1" applyBorder="1" applyAlignment="1">
      <alignment horizontal="justify" vertical="top" wrapText="1"/>
    </xf>
    <xf numFmtId="0" fontId="6" fillId="8" borderId="36" xfId="0" applyFont="1" applyFill="1" applyBorder="1" applyAlignment="1">
      <alignment horizontal="justify" vertical="top"/>
    </xf>
    <xf numFmtId="0" fontId="8" fillId="0" borderId="26" xfId="0" applyFont="1" applyFill="1" applyBorder="1" applyAlignment="1">
      <alignment horizontal="center" vertical="center" wrapText="1"/>
    </xf>
    <xf numFmtId="0" fontId="30" fillId="8" borderId="7" xfId="0" applyFont="1" applyFill="1" applyBorder="1" applyAlignment="1">
      <alignment horizontal="center" wrapText="1"/>
    </xf>
    <xf numFmtId="0" fontId="30" fillId="8" borderId="41" xfId="0" applyFont="1" applyFill="1" applyBorder="1" applyAlignment="1">
      <alignment horizontal="center" wrapText="1"/>
    </xf>
    <xf numFmtId="0" fontId="3" fillId="0" borderId="15" xfId="0" applyFont="1" applyFill="1" applyBorder="1" applyAlignment="1">
      <alignment horizontal="center"/>
    </xf>
    <xf numFmtId="0" fontId="3" fillId="0" borderId="17" xfId="0" applyFont="1" applyFill="1" applyBorder="1" applyAlignment="1">
      <alignment horizontal="center"/>
    </xf>
    <xf numFmtId="0" fontId="32" fillId="0" borderId="44" xfId="0" applyFont="1" applyFill="1" applyBorder="1" applyAlignment="1">
      <alignment horizontal="left" wrapText="1"/>
    </xf>
    <xf numFmtId="0" fontId="3" fillId="4" borderId="33" xfId="0" applyFont="1" applyFill="1" applyBorder="1" applyAlignment="1">
      <alignment horizontal="center" wrapText="1"/>
    </xf>
    <xf numFmtId="0" fontId="3" fillId="4" borderId="34"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wrapText="1"/>
    </xf>
    <xf numFmtId="0" fontId="3" fillId="6" borderId="22" xfId="0" applyFont="1" applyFill="1" applyBorder="1" applyAlignment="1">
      <alignment horizontal="center"/>
    </xf>
    <xf numFmtId="0" fontId="3" fillId="6" borderId="23" xfId="0" applyFont="1" applyFill="1" applyBorder="1" applyAlignment="1">
      <alignment horizontal="center"/>
    </xf>
    <xf numFmtId="2" fontId="3" fillId="4" borderId="33" xfId="0" applyNumberFormat="1" applyFont="1" applyFill="1" applyBorder="1" applyAlignment="1">
      <alignment horizontal="center" wrapText="1"/>
    </xf>
    <xf numFmtId="2" fontId="3" fillId="4" borderId="34" xfId="0" applyNumberFormat="1" applyFont="1" applyFill="1" applyBorder="1" applyAlignment="1">
      <alignment horizontal="center" wrapText="1"/>
    </xf>
    <xf numFmtId="2" fontId="3" fillId="6" borderId="22" xfId="0" applyNumberFormat="1" applyFont="1" applyFill="1" applyBorder="1" applyAlignment="1">
      <alignment horizontal="center"/>
    </xf>
    <xf numFmtId="2" fontId="3" fillId="6" borderId="23" xfId="0" applyNumberFormat="1" applyFont="1" applyFill="1" applyBorder="1" applyAlignment="1">
      <alignment horizontal="center"/>
    </xf>
    <xf numFmtId="164" fontId="3" fillId="0" borderId="15" xfId="0" applyNumberFormat="1" applyFont="1" applyFill="1" applyBorder="1" applyAlignment="1">
      <alignment horizontal="center"/>
    </xf>
    <xf numFmtId="164" fontId="8" fillId="4" borderId="1" xfId="0" applyNumberFormat="1" applyFont="1" applyFill="1" applyBorder="1" applyAlignment="1">
      <alignment horizontal="center"/>
    </xf>
    <xf numFmtId="0" fontId="26" fillId="0" borderId="45" xfId="0" applyFont="1" applyFill="1" applyBorder="1" applyAlignment="1">
      <alignment horizontal="left"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8" fillId="3" borderId="14"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7" fillId="0" borderId="19" xfId="0" applyFont="1" applyFill="1" applyBorder="1" applyAlignment="1">
      <alignment horizontal="center" vertical="top"/>
    </xf>
    <xf numFmtId="0" fontId="17" fillId="0" borderId="37" xfId="0" applyFont="1" applyFill="1" applyBorder="1" applyAlignment="1">
      <alignment horizontal="center" vertical="top"/>
    </xf>
    <xf numFmtId="0" fontId="17" fillId="0" borderId="20" xfId="0" applyFont="1" applyFill="1" applyBorder="1" applyAlignment="1">
      <alignment horizontal="center" vertical="top"/>
    </xf>
    <xf numFmtId="0" fontId="17" fillId="0" borderId="13" xfId="0" applyFont="1" applyFill="1" applyBorder="1" applyAlignment="1">
      <alignment horizontal="center" vertical="top"/>
    </xf>
    <xf numFmtId="0" fontId="16" fillId="0" borderId="1" xfId="0" applyFont="1" applyFill="1" applyBorder="1" applyAlignment="1">
      <alignment horizontal="center" vertical="center" wrapText="1"/>
    </xf>
    <xf numFmtId="0" fontId="3" fillId="8" borderId="15" xfId="0" applyFont="1" applyFill="1" applyBorder="1" applyAlignment="1">
      <alignment horizontal="left" vertical="top" wrapText="1"/>
    </xf>
    <xf numFmtId="0" fontId="3" fillId="8" borderId="36" xfId="0" applyFont="1" applyFill="1" applyBorder="1" applyAlignment="1">
      <alignment horizontal="left" vertical="top" wrapText="1"/>
    </xf>
    <xf numFmtId="0" fontId="8" fillId="3" borderId="1" xfId="0" applyFont="1" applyFill="1" applyBorder="1" applyAlignment="1">
      <alignment horizontal="center" wrapText="1"/>
    </xf>
    <xf numFmtId="0" fontId="8" fillId="3" borderId="14" xfId="0"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29" fillId="8" borderId="17" xfId="0" applyFont="1" applyFill="1" applyBorder="1" applyAlignment="1">
      <alignment horizontal="left" vertical="top" wrapText="1"/>
    </xf>
    <xf numFmtId="0" fontId="30" fillId="8" borderId="36" xfId="0" applyFont="1" applyFill="1" applyBorder="1" applyAlignment="1">
      <alignment horizontal="left" vertical="top" wrapText="1"/>
    </xf>
    <xf numFmtId="0" fontId="30" fillId="8" borderId="17" xfId="0" applyFont="1" applyFill="1" applyBorder="1" applyAlignment="1">
      <alignment horizontal="left" vertical="top" wrapText="1"/>
    </xf>
    <xf numFmtId="0" fontId="47" fillId="8" borderId="3" xfId="0" applyFont="1" applyFill="1" applyBorder="1" applyAlignment="1">
      <alignment horizontal="left" vertical="top" wrapText="1"/>
    </xf>
    <xf numFmtId="0" fontId="47" fillId="8" borderId="0" xfId="0" applyFont="1" applyFill="1" applyBorder="1" applyAlignment="1">
      <alignment horizontal="left" vertical="top" wrapText="1"/>
    </xf>
    <xf numFmtId="0" fontId="47" fillId="8" borderId="15" xfId="0" applyFont="1" applyFill="1" applyBorder="1" applyAlignment="1">
      <alignment horizontal="left" vertical="top" wrapText="1"/>
    </xf>
    <xf numFmtId="0" fontId="47" fillId="8" borderId="36" xfId="0" applyFont="1" applyFill="1" applyBorder="1" applyAlignment="1">
      <alignment horizontal="left" vertical="top" wrapText="1"/>
    </xf>
    <xf numFmtId="0" fontId="47" fillId="0" borderId="2"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3" fillId="0" borderId="13" xfId="0" applyFont="1" applyFill="1" applyBorder="1" applyAlignment="1">
      <alignment horizontal="center" vertical="top"/>
    </xf>
    <xf numFmtId="0" fontId="3" fillId="0" borderId="21" xfId="0" applyFont="1" applyFill="1" applyBorder="1" applyAlignment="1">
      <alignment horizontal="center" vertical="top"/>
    </xf>
    <xf numFmtId="0" fontId="29" fillId="8" borderId="26" xfId="0" applyFont="1" applyFill="1" applyBorder="1" applyAlignment="1">
      <alignment horizontal="justify" vertical="top" wrapText="1"/>
    </xf>
    <xf numFmtId="0" fontId="6" fillId="8" borderId="43" xfId="0" applyFont="1" applyFill="1" applyBorder="1" applyAlignment="1">
      <alignment horizontal="justify" vertical="top" wrapText="1"/>
    </xf>
    <xf numFmtId="0" fontId="8" fillId="8" borderId="15" xfId="0" applyFont="1" applyFill="1" applyBorder="1" applyAlignment="1">
      <alignment horizontal="left" vertical="top" wrapText="1"/>
    </xf>
    <xf numFmtId="0" fontId="8" fillId="8" borderId="36" xfId="0" applyFont="1" applyFill="1" applyBorder="1" applyAlignment="1">
      <alignment horizontal="left" vertical="top" wrapText="1"/>
    </xf>
    <xf numFmtId="0" fontId="3" fillId="8" borderId="15"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6" fillId="8" borderId="2" xfId="0" applyFont="1" applyFill="1" applyBorder="1" applyAlignment="1">
      <alignment horizontal="justify" vertical="top" wrapText="1"/>
    </xf>
    <xf numFmtId="0" fontId="31" fillId="8" borderId="36" xfId="0" applyFont="1" applyFill="1" applyBorder="1" applyAlignment="1">
      <alignment horizontal="left" vertical="top" wrapText="1"/>
    </xf>
    <xf numFmtId="0" fontId="31" fillId="8" borderId="17" xfId="0" applyFont="1" applyFill="1" applyBorder="1" applyAlignment="1">
      <alignment horizontal="left" vertical="top" wrapText="1"/>
    </xf>
    <xf numFmtId="0" fontId="8" fillId="8" borderId="15" xfId="0" applyFont="1" applyFill="1" applyBorder="1" applyAlignment="1">
      <alignment horizontal="center" vertical="center"/>
    </xf>
    <xf numFmtId="0" fontId="8" fillId="8" borderId="36" xfId="0" applyFont="1" applyFill="1" applyBorder="1" applyAlignment="1">
      <alignment horizontal="center" vertical="center"/>
    </xf>
    <xf numFmtId="0" fontId="8" fillId="8" borderId="17" xfId="0" applyFont="1" applyFill="1" applyBorder="1" applyAlignment="1">
      <alignment horizontal="center" vertical="center"/>
    </xf>
    <xf numFmtId="0" fontId="6" fillId="8" borderId="22" xfId="0" applyFont="1" applyFill="1" applyBorder="1" applyAlignment="1">
      <alignment horizontal="left" vertical="top" wrapText="1"/>
    </xf>
    <xf numFmtId="0" fontId="6" fillId="8" borderId="23" xfId="0" applyFont="1" applyFill="1" applyBorder="1" applyAlignment="1">
      <alignment horizontal="left" vertical="top" wrapText="1"/>
    </xf>
    <xf numFmtId="0" fontId="6" fillId="8" borderId="15" xfId="0" applyFont="1" applyFill="1" applyBorder="1" applyAlignment="1">
      <alignment horizontal="left" vertical="top" wrapText="1"/>
    </xf>
    <xf numFmtId="169" fontId="30" fillId="5" borderId="38" xfId="0" applyNumberFormat="1"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0" xfId="0" applyFont="1" applyFill="1" applyBorder="1" applyAlignment="1">
      <alignment horizontal="center" vertical="center" wrapText="1"/>
    </xf>
  </cellXfs>
  <cellStyles count="8">
    <cellStyle name="Hipersaitas" xfId="1" builtinId="8"/>
    <cellStyle name="Įprastas" xfId="0" builtinId="0"/>
    <cellStyle name="Įprastas 2" xfId="7" xr:uid="{00000000-0005-0000-0000-000036000000}"/>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VLK PSDFvykd" xfId="6" xr:uid="{91D00095-F419-45F2-A0D1-7330231AD8DA}"/>
  </cellStyles>
  <dxfs count="0"/>
  <tableStyles count="0" defaultTableStyle="TableStyleMedium2" defaultPivotStyle="PivotStyleLight16"/>
  <colors>
    <mruColors>
      <color rgb="FFC9D6D9"/>
      <color rgb="FF47ABD9"/>
      <color rgb="FF00244D"/>
      <color rgb="FFB5DD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304800</xdr:colOff>
      <xdr:row>0</xdr:row>
      <xdr:rowOff>137160</xdr:rowOff>
    </xdr:from>
    <xdr:to>
      <xdr:col>3</xdr:col>
      <xdr:colOff>3215640</xdr:colOff>
      <xdr:row>0</xdr:row>
      <xdr:rowOff>1205991</xdr:rowOff>
    </xdr:to>
    <xdr:pic>
      <xdr:nvPicPr>
        <xdr:cNvPr id="4" name="Paveikslėlis 3" descr="https://intranetas.vkontrole.lt/sablonai/images/ZENKLAI/Zenklai-horizontalus_LT.png">
          <a:hlinkClick xmlns:r="http://schemas.openxmlformats.org/officeDocument/2006/relationships" r:id="rId1"/>
          <a:extLst>
            <a:ext uri="{FF2B5EF4-FFF2-40B4-BE49-F238E27FC236}">
              <a16:creationId xmlns:a16="http://schemas.microsoft.com/office/drawing/2014/main" id="{1DB53902-1B61-43FD-ABB6-736D1E6625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120" y="137160"/>
          <a:ext cx="3223260" cy="1068831"/>
        </a:xfrm>
        <a:prstGeom prst="rect">
          <a:avLst/>
        </a:prstGeom>
        <a:solidFill>
          <a:schemeClr val="accent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26</xdr:row>
      <xdr:rowOff>127014</xdr:rowOff>
    </xdr:from>
    <xdr:to>
      <xdr:col>4</xdr:col>
      <xdr:colOff>599327</xdr:colOff>
      <xdr:row>28</xdr:row>
      <xdr:rowOff>80908</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34</xdr:row>
      <xdr:rowOff>279621</xdr:rowOff>
    </xdr:from>
    <xdr:to>
      <xdr:col>4</xdr:col>
      <xdr:colOff>1269615</xdr:colOff>
      <xdr:row>34</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twoCellAnchor>
  <xdr:twoCellAnchor editAs="oneCell">
    <xdr:from>
      <xdr:col>3</xdr:col>
      <xdr:colOff>420031</xdr:colOff>
      <xdr:row>36</xdr:row>
      <xdr:rowOff>356194</xdr:rowOff>
    </xdr:from>
    <xdr:to>
      <xdr:col>4</xdr:col>
      <xdr:colOff>869859</xdr:colOff>
      <xdr:row>36</xdr:row>
      <xdr:rowOff>791968</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51070" y="11561447"/>
              <a:ext cx="1423733"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m:t>
                        </m:r>
                      </m:deg>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e>
                            </m:d>
                          </m:num>
                          <m:den>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−8)</m:t>
                            </m:r>
                          </m:den>
                        </m:f>
                      </m:e>
                    </m:rad>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51070" y="11561447"/>
              <a:ext cx="1423733"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Y_np10t=√(10&amp;(Y^∗ (t+2))/(Y^∗ (t−8)))𝑑_𝑡−1</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30</xdr:row>
      <xdr:rowOff>200504</xdr:rowOff>
    </xdr:from>
    <xdr:to>
      <xdr:col>4</xdr:col>
      <xdr:colOff>890124</xdr:colOff>
      <xdr:row>32</xdr:row>
      <xdr:rowOff>182910</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14</xdr:row>
      <xdr:rowOff>78342</xdr:rowOff>
    </xdr:from>
    <xdr:to>
      <xdr:col>4</xdr:col>
      <xdr:colOff>1025270</xdr:colOff>
      <xdr:row>16</xdr:row>
      <xdr:rowOff>150745</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5</xdr:row>
      <xdr:rowOff>177586</xdr:rowOff>
    </xdr:from>
    <xdr:to>
      <xdr:col>4</xdr:col>
      <xdr:colOff>1194660</xdr:colOff>
      <xdr:row>7</xdr:row>
      <xdr:rowOff>354793</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616215</xdr:colOff>
      <xdr:row>35</xdr:row>
      <xdr:rowOff>71382</xdr:rowOff>
    </xdr:from>
    <xdr:to>
      <xdr:col>4</xdr:col>
      <xdr:colOff>888288</xdr:colOff>
      <xdr:row>36</xdr:row>
      <xdr:rowOff>224746</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47254" y="11009079"/>
              <a:ext cx="1245978" cy="42092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47254" y="11009079"/>
              <a:ext cx="1245978" cy="42092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xdr:from>
      <xdr:col>3</xdr:col>
      <xdr:colOff>180975</xdr:colOff>
      <xdr:row>38</xdr:row>
      <xdr:rowOff>200024</xdr:rowOff>
    </xdr:from>
    <xdr:to>
      <xdr:col>4</xdr:col>
      <xdr:colOff>1186660</xdr:colOff>
      <xdr:row>39</xdr:row>
      <xdr:rowOff>0</xdr:rowOff>
    </xdr:to>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CEBD659F-4C59-443E-9214-DAF03DE892E9}"/>
                </a:ext>
              </a:extLst>
            </xdr:cNvPr>
            <xdr:cNvSpPr txBox="1"/>
          </xdr:nvSpPr>
          <xdr:spPr>
            <a:xfrm>
              <a:off x="7591425" y="14716124"/>
              <a:ext cx="197723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VI</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VI</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2" name="TextBox 11">
              <a:extLst>
                <a:ext uri="{FF2B5EF4-FFF2-40B4-BE49-F238E27FC236}">
                  <a16:creationId xmlns:a16="http://schemas.microsoft.com/office/drawing/2014/main" id="{CEBD659F-4C59-443E-9214-DAF03DE892E9}"/>
                </a:ext>
              </a:extLst>
            </xdr:cNvPr>
            <xdr:cNvSpPr txBox="1"/>
          </xdr:nvSpPr>
          <xdr:spPr>
            <a:xfrm>
              <a:off x="7591425" y="14716124"/>
              <a:ext cx="197723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VI</a:t>
              </a:r>
              <a:r>
                <a:rPr lang="en-US" sz="800" b="0" i="0">
                  <a:latin typeface="Cambria Math" panose="02040503050406030204" pitchFamily="18" charset="0"/>
                </a:rPr>
                <a:t>(t)−ES(t))/(</a:t>
              </a:r>
              <a:r>
                <a:rPr lang="lt-LT" sz="800" b="0" i="0">
                  <a:latin typeface="Cambria Math" panose="02040503050406030204" pitchFamily="18" charset="0"/>
                </a:rPr>
                <a:t>VI</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twoCellAnchor>
</xdr:wsDr>
</file>

<file path=xl/theme/theme1.xml><?xml version="1.0" encoding="utf-8"?>
<a:theme xmlns:a="http://schemas.openxmlformats.org/drawingml/2006/main" name="„Office“ tema">
  <a:themeElements>
    <a:clrScheme name="Pasirinktinis 1">
      <a:dk1>
        <a:sysClr val="windowText" lastClr="000000"/>
      </a:dk1>
      <a:lt1>
        <a:sysClr val="window" lastClr="FFFFFF"/>
      </a:lt1>
      <a:dk2>
        <a:srgbClr val="44546A"/>
      </a:dk2>
      <a:lt2>
        <a:srgbClr val="E7E6E6"/>
      </a:lt2>
      <a:accent1>
        <a:srgbClr val="00244D"/>
      </a:accent1>
      <a:accent2>
        <a:srgbClr val="47ABD9"/>
      </a:accent2>
      <a:accent3>
        <a:srgbClr val="D41A1F"/>
      </a:accent3>
      <a:accent4>
        <a:srgbClr val="D1D1D1"/>
      </a:accent4>
      <a:accent5>
        <a:srgbClr val="666261"/>
      </a:accent5>
      <a:accent6>
        <a:srgbClr val="8D847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rgb="FF00244D"/>
  </sheetPr>
  <dimension ref="C1:G32"/>
  <sheetViews>
    <sheetView showGridLines="0" showRowColHeaders="0" tabSelected="1" workbookViewId="0">
      <selection activeCell="B1" sqref="B1"/>
    </sheetView>
  </sheetViews>
  <sheetFormatPr defaultColWidth="10" defaultRowHeight="13.8" x14ac:dyDescent="0.25"/>
  <cols>
    <col min="1" max="1" width="0.44140625" style="225" customWidth="1"/>
    <col min="2" max="2" width="3.5546875" style="225" customWidth="1"/>
    <col min="3" max="3" width="4.5546875" style="264" customWidth="1"/>
    <col min="4" max="4" width="99.6640625" style="264" customWidth="1"/>
    <col min="5" max="5" width="3.6640625" style="225" customWidth="1"/>
    <col min="6" max="6" width="10" style="225"/>
    <col min="7" max="7" width="10.5546875" style="225" customWidth="1"/>
    <col min="8" max="16384" width="10" style="225"/>
  </cols>
  <sheetData>
    <row r="1" spans="3:7" ht="109.5" customHeight="1" thickBot="1" x14ac:dyDescent="0.3">
      <c r="C1" s="290"/>
      <c r="D1" s="291"/>
      <c r="E1" s="292"/>
    </row>
    <row r="2" spans="3:7" x14ac:dyDescent="0.25">
      <c r="C2" s="244"/>
      <c r="D2" s="245"/>
      <c r="E2" s="246"/>
    </row>
    <row r="3" spans="3:7" ht="35.25" customHeight="1" x14ac:dyDescent="0.25">
      <c r="C3" s="470" t="s">
        <v>0</v>
      </c>
      <c r="D3" s="471"/>
      <c r="E3" s="247"/>
    </row>
    <row r="4" spans="3:7" x14ac:dyDescent="0.25">
      <c r="C4" s="248"/>
      <c r="D4" s="249"/>
      <c r="E4" s="250"/>
    </row>
    <row r="5" spans="3:7" ht="16.2" customHeight="1" x14ac:dyDescent="0.25">
      <c r="C5" s="293" t="s">
        <v>322</v>
      </c>
      <c r="D5" s="294"/>
      <c r="E5" s="251"/>
      <c r="G5" s="252"/>
    </row>
    <row r="6" spans="3:7" x14ac:dyDescent="0.25">
      <c r="C6" s="248"/>
      <c r="D6" s="249"/>
      <c r="E6" s="250"/>
    </row>
    <row r="7" spans="3:7" ht="17.399999999999999" x14ac:dyDescent="0.3">
      <c r="C7" s="295" t="s">
        <v>1</v>
      </c>
      <c r="D7" s="296"/>
      <c r="E7" s="253"/>
    </row>
    <row r="8" spans="3:7" x14ac:dyDescent="0.25">
      <c r="C8" s="248"/>
      <c r="D8" s="249"/>
      <c r="E8" s="250"/>
    </row>
    <row r="9" spans="3:7" ht="171.75" customHeight="1" x14ac:dyDescent="0.25">
      <c r="C9" s="248"/>
      <c r="D9" s="254" t="s">
        <v>286</v>
      </c>
      <c r="E9" s="255"/>
    </row>
    <row r="10" spans="3:7" x14ac:dyDescent="0.25">
      <c r="C10" s="248"/>
      <c r="D10" s="249"/>
      <c r="E10" s="250"/>
    </row>
    <row r="11" spans="3:7" ht="17.399999999999999" x14ac:dyDescent="0.3">
      <c r="C11" s="295" t="s">
        <v>287</v>
      </c>
      <c r="D11" s="296"/>
      <c r="E11" s="253"/>
    </row>
    <row r="12" spans="3:7" x14ac:dyDescent="0.25">
      <c r="C12" s="248"/>
      <c r="D12" s="249"/>
      <c r="E12" s="250"/>
    </row>
    <row r="13" spans="3:7" x14ac:dyDescent="0.25">
      <c r="C13" s="248"/>
      <c r="D13" s="288" t="s">
        <v>2</v>
      </c>
      <c r="E13" s="250"/>
    </row>
    <row r="14" spans="3:7" x14ac:dyDescent="0.25">
      <c r="C14" s="248"/>
      <c r="D14" s="249"/>
      <c r="E14" s="250"/>
    </row>
    <row r="15" spans="3:7" ht="17.399999999999999" x14ac:dyDescent="0.3">
      <c r="C15" s="295" t="s">
        <v>3</v>
      </c>
      <c r="D15" s="296"/>
      <c r="E15" s="253"/>
    </row>
    <row r="16" spans="3:7" x14ac:dyDescent="0.25">
      <c r="C16" s="248"/>
      <c r="D16" s="249"/>
      <c r="E16" s="250"/>
    </row>
    <row r="17" spans="3:5" x14ac:dyDescent="0.25">
      <c r="C17" s="248"/>
      <c r="D17" s="288" t="s">
        <v>4</v>
      </c>
      <c r="E17" s="250"/>
    </row>
    <row r="18" spans="3:5" x14ac:dyDescent="0.25">
      <c r="C18" s="248"/>
      <c r="D18" s="288" t="s">
        <v>5</v>
      </c>
      <c r="E18" s="250"/>
    </row>
    <row r="19" spans="3:5" x14ac:dyDescent="0.25">
      <c r="C19" s="248"/>
      <c r="D19" s="249"/>
      <c r="E19" s="250"/>
    </row>
    <row r="20" spans="3:5" ht="17.399999999999999" x14ac:dyDescent="0.3">
      <c r="C20" s="295" t="s">
        <v>6</v>
      </c>
      <c r="D20" s="296"/>
      <c r="E20" s="253"/>
    </row>
    <row r="21" spans="3:5" x14ac:dyDescent="0.25">
      <c r="C21" s="248"/>
      <c r="D21" s="249"/>
      <c r="E21" s="250"/>
    </row>
    <row r="22" spans="3:5" x14ac:dyDescent="0.25">
      <c r="C22" s="248"/>
      <c r="D22" s="288" t="s">
        <v>7</v>
      </c>
      <c r="E22" s="250"/>
    </row>
    <row r="23" spans="3:5" x14ac:dyDescent="0.25">
      <c r="C23" s="248"/>
      <c r="D23" s="288" t="s">
        <v>8</v>
      </c>
      <c r="E23" s="250"/>
    </row>
    <row r="24" spans="3:5" x14ac:dyDescent="0.25">
      <c r="C24" s="248"/>
      <c r="D24" s="288" t="s">
        <v>9</v>
      </c>
      <c r="E24" s="250"/>
    </row>
    <row r="25" spans="3:5" x14ac:dyDescent="0.25">
      <c r="C25" s="248"/>
      <c r="D25" s="249"/>
      <c r="E25" s="250"/>
    </row>
    <row r="26" spans="3:5" ht="17.399999999999999" x14ac:dyDescent="0.3">
      <c r="C26" s="295" t="s">
        <v>10</v>
      </c>
      <c r="D26" s="296"/>
      <c r="E26" s="256"/>
    </row>
    <row r="27" spans="3:5" x14ac:dyDescent="0.25">
      <c r="C27" s="248"/>
      <c r="D27" s="249"/>
      <c r="E27" s="250"/>
    </row>
    <row r="28" spans="3:5" x14ac:dyDescent="0.25">
      <c r="C28" s="248" t="s">
        <v>11</v>
      </c>
      <c r="D28" s="257" t="s">
        <v>12</v>
      </c>
      <c r="E28" s="250"/>
    </row>
    <row r="29" spans="3:5" ht="14.4" x14ac:dyDescent="0.3">
      <c r="C29" s="258" t="s">
        <v>13</v>
      </c>
      <c r="D29" s="259" t="s">
        <v>14</v>
      </c>
      <c r="E29" s="260"/>
    </row>
    <row r="30" spans="3:5" x14ac:dyDescent="0.25">
      <c r="C30" s="248" t="s">
        <v>15</v>
      </c>
      <c r="D30" s="257" t="s">
        <v>16</v>
      </c>
      <c r="E30" s="250"/>
    </row>
    <row r="31" spans="3:5" ht="14.4" x14ac:dyDescent="0.3">
      <c r="C31" s="258" t="s">
        <v>17</v>
      </c>
      <c r="D31" s="259" t="s">
        <v>18</v>
      </c>
      <c r="E31" s="260"/>
    </row>
    <row r="32" spans="3:5" ht="9.6" customHeight="1" thickBot="1" x14ac:dyDescent="0.3">
      <c r="C32" s="261"/>
      <c r="D32" s="262"/>
      <c r="E32" s="263"/>
    </row>
  </sheetData>
  <mergeCells count="8">
    <mergeCell ref="C1:E1"/>
    <mergeCell ref="C3:D3"/>
    <mergeCell ref="C5:D5"/>
    <mergeCell ref="C7:D7"/>
    <mergeCell ref="C26:D26"/>
    <mergeCell ref="C11:D11"/>
    <mergeCell ref="C15:D15"/>
    <mergeCell ref="C20:D20"/>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28" r:id="rId1" display="http://www3.lrs.lt/pls/inter3/dokpaieska.showdoc_l?p_id=487268&amp;p_tr2=2" xr:uid="{DDC9A2C8-E1C0-4CF4-BC74-7FF78E256ED8}"/>
    <hyperlink ref="D30" r:id="rId2" display="Lietuvos Respublikos fiskalinės drausmės įstatymas" xr:uid="{F4FFA9C7-1444-4704-90F5-2ECFABD928E1}"/>
    <hyperlink ref="D31" r:id="rId3" xr:uid="{3C5B1BA1-E78A-448A-B1EF-3C53FDDD686B}"/>
    <hyperlink ref="D29" r:id="rId4" xr:uid="{AB0085CB-F5E8-4B40-995B-4E4EFCC9A3FD}"/>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rgb="FF47ABD9"/>
  </sheetPr>
  <dimension ref="A1:E36"/>
  <sheetViews>
    <sheetView showGridLines="0" showRowColHeaders="0" zoomScaleNormal="100" workbookViewId="0"/>
  </sheetViews>
  <sheetFormatPr defaultColWidth="10" defaultRowHeight="13.8" x14ac:dyDescent="0.25"/>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x14ac:dyDescent="0.25">
      <c r="B1" s="226" t="s">
        <v>19</v>
      </c>
      <c r="C1" s="3"/>
      <c r="D1" s="3"/>
    </row>
    <row r="2" spans="1:4" ht="14.4" thickBot="1" x14ac:dyDescent="0.3">
      <c r="A2" s="4" t="s">
        <v>20</v>
      </c>
    </row>
    <row r="3" spans="1:4" ht="35.25" customHeight="1" thickTop="1" thickBot="1" x14ac:dyDescent="0.3">
      <c r="B3" s="312" t="s">
        <v>289</v>
      </c>
      <c r="C3" s="313"/>
      <c r="D3" s="314"/>
    </row>
    <row r="4" spans="1:4" ht="17.25" customHeight="1" thickBot="1" x14ac:dyDescent="0.3">
      <c r="B4" s="87" t="s">
        <v>21</v>
      </c>
      <c r="C4" s="315"/>
      <c r="D4" s="316"/>
    </row>
    <row r="5" spans="1:4" ht="33" customHeight="1" thickBot="1" x14ac:dyDescent="0.35">
      <c r="B5" s="6" t="s">
        <v>22</v>
      </c>
      <c r="C5" s="88" t="s">
        <v>23</v>
      </c>
      <c r="D5" s="7" t="s">
        <v>24</v>
      </c>
    </row>
    <row r="6" spans="1:4" ht="17.399999999999999" customHeight="1" thickBot="1" x14ac:dyDescent="0.3">
      <c r="B6" s="297" t="s">
        <v>25</v>
      </c>
      <c r="C6" s="298"/>
      <c r="D6" s="299"/>
    </row>
    <row r="7" spans="1:4" ht="17.399999999999999" customHeight="1" thickBot="1" x14ac:dyDescent="0.3">
      <c r="B7" s="310" t="s">
        <v>26</v>
      </c>
      <c r="C7" s="158" t="str">
        <f>'4. SurplusGG'!E20</f>
        <v>Netaikoma</v>
      </c>
      <c r="D7" s="240" t="str">
        <f>'4. SurplusGG'!F20</f>
        <v>Netaikoma</v>
      </c>
    </row>
    <row r="8" spans="1:4" ht="53.4" customHeight="1" x14ac:dyDescent="0.25">
      <c r="B8" s="311"/>
      <c r="C8" s="159" t="str">
        <f>'4. SurplusGG'!E21</f>
        <v>Paskelbtos išskirtinės aplinkybės</v>
      </c>
      <c r="D8" s="178" t="str">
        <f>'4. SurplusGG'!F21</f>
        <v>Paskelbtos išskirtinės aplinkybės</v>
      </c>
    </row>
    <row r="9" spans="1:4" ht="15.75" customHeight="1" thickBot="1" x14ac:dyDescent="0.3">
      <c r="B9" s="317" t="s">
        <v>27</v>
      </c>
      <c r="C9" s="176" t="str">
        <f>'4. SurplusGG'!E22</f>
        <v>Not applicable</v>
      </c>
      <c r="D9" s="241" t="str">
        <f>'4. SurplusGG'!F22</f>
        <v>Not applicable</v>
      </c>
    </row>
    <row r="10" spans="1:4" ht="33" customHeight="1" thickBot="1" x14ac:dyDescent="0.3">
      <c r="B10" s="318"/>
      <c r="C10" s="177" t="str">
        <f>'4. SurplusGG'!E23</f>
        <v>Exceptional circumstances</v>
      </c>
      <c r="D10" s="242" t="str">
        <f>'4. SurplusGG'!F23</f>
        <v>Exceptional circumstances</v>
      </c>
    </row>
    <row r="11" spans="1:4" ht="17.25" customHeight="1" x14ac:dyDescent="0.25">
      <c r="B11" s="208" t="s">
        <v>28</v>
      </c>
      <c r="C11" s="308" t="str">
        <f>'4. SurplusGG'!E6</f>
        <v>Taip</v>
      </c>
      <c r="D11" s="309"/>
    </row>
    <row r="12" spans="1:4" ht="17.25" customHeight="1" thickBot="1" x14ac:dyDescent="0.3">
      <c r="B12" s="209" t="s">
        <v>29</v>
      </c>
      <c r="C12" s="319" t="str">
        <f>'4. SurplusGG'!E7</f>
        <v>Yes</v>
      </c>
      <c r="D12" s="320"/>
    </row>
    <row r="13" spans="1:4" ht="21" customHeight="1" thickBot="1" x14ac:dyDescent="0.3">
      <c r="B13" s="297" t="s">
        <v>30</v>
      </c>
      <c r="C13" s="298"/>
      <c r="D13" s="299"/>
    </row>
    <row r="14" spans="1:4" ht="18" customHeight="1" x14ac:dyDescent="0.25">
      <c r="B14" s="304" t="s">
        <v>31</v>
      </c>
      <c r="C14" s="8" t="str">
        <f>'5. GGexpenditure'!F26</f>
        <v>Taip</v>
      </c>
      <c r="D14" s="89" t="str">
        <f>'5. GGexpenditure'!G26</f>
        <v>Taip</v>
      </c>
    </row>
    <row r="15" spans="1:4" ht="33" customHeight="1" x14ac:dyDescent="0.25">
      <c r="B15" s="305"/>
      <c r="C15" s="171" t="str">
        <f>'5. GGexpenditure'!F27</f>
        <v>Susidaro A1 A2 aplinkybės</v>
      </c>
      <c r="D15" s="160" t="str">
        <f>'5. GGexpenditure'!G27</f>
        <v>Susidaro A1 A2 aplinkybės</v>
      </c>
    </row>
    <row r="16" spans="1:4" ht="18" customHeight="1" x14ac:dyDescent="0.25">
      <c r="B16" s="306" t="s">
        <v>32</v>
      </c>
      <c r="C16" s="172" t="str">
        <f>'5. GGexpenditure'!F28</f>
        <v>Yes</v>
      </c>
      <c r="D16" s="173" t="str">
        <f>'5. GGexpenditure'!G28</f>
        <v>Yes</v>
      </c>
    </row>
    <row r="17" spans="2:4" ht="36.75" customHeight="1" thickBot="1" x14ac:dyDescent="0.3">
      <c r="B17" s="306"/>
      <c r="C17" s="174" t="str">
        <f>'5. GGexpenditure'!F29</f>
        <v>Escape clauses A1 A2 emerge</v>
      </c>
      <c r="D17" s="175" t="str">
        <f>'5. GGexpenditure'!G29</f>
        <v>Escape clauses A1 A2 emerge</v>
      </c>
    </row>
    <row r="18" spans="2:4" ht="22.5" customHeight="1" x14ac:dyDescent="0.25">
      <c r="B18" s="304" t="s">
        <v>33</v>
      </c>
      <c r="C18" s="154" t="str">
        <f>'5. GGexpenditure'!F34</f>
        <v>Netaikoma</v>
      </c>
      <c r="D18" s="196" t="str">
        <f>'5. GGexpenditure'!G34</f>
        <v>Netaikoma</v>
      </c>
    </row>
    <row r="19" spans="2:4" ht="69" customHeight="1" x14ac:dyDescent="0.25">
      <c r="B19" s="305"/>
      <c r="C19" s="155" t="str">
        <f>'5. GGexpenditure'!F35</f>
        <v>Susidarė KĮ numatytos netaikymo aplinkybės</v>
      </c>
      <c r="D19" s="195" t="str">
        <f>'5. GGexpenditure'!G35</f>
        <v>Susidarė KĮ numatytos netaikymo aplinkybės</v>
      </c>
    </row>
    <row r="20" spans="2:4" ht="14.4" x14ac:dyDescent="0.25">
      <c r="B20" s="306" t="s">
        <v>34</v>
      </c>
      <c r="C20" s="172" t="str">
        <f>'5. GGexpenditure'!F36</f>
        <v>Not applied</v>
      </c>
      <c r="D20" s="173" t="str">
        <f>'5. GGexpenditure'!G36</f>
        <v>Not applied</v>
      </c>
    </row>
    <row r="21" spans="2:4" ht="29.4" thickBot="1" x14ac:dyDescent="0.3">
      <c r="B21" s="307"/>
      <c r="C21" s="92" t="str">
        <f>'5. GGexpenditure'!F37</f>
        <v>CL escape clauses emerged</v>
      </c>
      <c r="D21" s="194" t="str">
        <f>'5. GGexpenditure'!G37</f>
        <v>CL escape clauses emerged</v>
      </c>
    </row>
    <row r="22" spans="2:4" ht="19.5" customHeight="1" x14ac:dyDescent="0.25">
      <c r="B22" s="208" t="s">
        <v>35</v>
      </c>
      <c r="C22" s="171" t="s">
        <v>36</v>
      </c>
      <c r="D22" s="178" t="s">
        <v>37</v>
      </c>
    </row>
    <row r="23" spans="2:4" ht="15" thickBot="1" x14ac:dyDescent="0.3">
      <c r="B23" s="209" t="s">
        <v>38</v>
      </c>
      <c r="C23" s="92" t="s">
        <v>39</v>
      </c>
      <c r="D23" s="168" t="s">
        <v>39</v>
      </c>
    </row>
    <row r="24" spans="2:4" ht="14.4" thickBot="1" x14ac:dyDescent="0.3">
      <c r="B24" s="297" t="s">
        <v>40</v>
      </c>
      <c r="C24" s="298" t="s">
        <v>41</v>
      </c>
      <c r="D24" s="299"/>
    </row>
    <row r="25" spans="2:4" ht="110.25" customHeight="1" x14ac:dyDescent="0.25">
      <c r="B25" s="208" t="s">
        <v>42</v>
      </c>
      <c r="C25" s="86" t="str">
        <f>'6. GGbudgets'!E6:E6</f>
        <v>Savivaldybių biudžetų atitiktis fiskalinės drausmės taisyklėms bus vertinama 2022 m. I pusmečio pabaigoje</v>
      </c>
      <c r="D25" s="165" t="str">
        <f>'6. GGbudgets'!F6:F6</f>
        <v>Savivaldybių biudžetų atitiktis fiskalinės drausmės taisyklėms bus vertinama 2022 m. I pusmečio pabaigoje</v>
      </c>
    </row>
    <row r="26" spans="2:4" ht="43.8" thickBot="1" x14ac:dyDescent="0.3">
      <c r="B26" s="209" t="s">
        <v>43</v>
      </c>
      <c r="C26" s="91" t="str">
        <f>'6. GGbudgets'!E7:E7</f>
        <v>Will be assessed at the end of the first half of 2022</v>
      </c>
      <c r="D26" s="166" t="str">
        <f>'6. GGbudgets'!F7:F7</f>
        <v>Will be assessed at the end of the first half of 2022</v>
      </c>
    </row>
    <row r="27" spans="2:4" x14ac:dyDescent="0.25">
      <c r="B27" s="208" t="s">
        <v>44</v>
      </c>
      <c r="C27" s="154" t="str">
        <f>'6. GGbudgets'!E12</f>
        <v>Tenkinama</v>
      </c>
      <c r="D27" s="167" t="str">
        <f>'6. GGbudgets'!F12</f>
        <v>Tenkinama</v>
      </c>
    </row>
    <row r="28" spans="2:4" ht="15" thickBot="1" x14ac:dyDescent="0.3">
      <c r="B28" s="209" t="s">
        <v>45</v>
      </c>
      <c r="C28" s="92" t="str">
        <f>'6. GGbudgets'!E13</f>
        <v>Valid</v>
      </c>
      <c r="D28" s="168" t="str">
        <f>'6. GGbudgets'!F13</f>
        <v>Valid</v>
      </c>
    </row>
    <row r="29" spans="2:4" x14ac:dyDescent="0.25">
      <c r="B29" s="202" t="s">
        <v>46</v>
      </c>
      <c r="C29" s="155" t="str">
        <f>'6. GGbudgets'!E20</f>
        <v>Tenkinama</v>
      </c>
      <c r="D29" s="169" t="str">
        <f>'6. GGbudgets'!F20</f>
        <v>Tenkinama</v>
      </c>
    </row>
    <row r="30" spans="2:4" ht="15" thickBot="1" x14ac:dyDescent="0.3">
      <c r="B30" s="203" t="s">
        <v>47</v>
      </c>
      <c r="C30" s="224" t="str">
        <f>'6. GGbudgets'!E21</f>
        <v>Valid</v>
      </c>
      <c r="D30" s="170" t="str">
        <f>'6. GGbudgets'!F21</f>
        <v>Valid</v>
      </c>
    </row>
    <row r="31" spans="2:4" ht="105.75" customHeight="1" x14ac:dyDescent="0.25">
      <c r="B31" s="205" t="s">
        <v>48</v>
      </c>
      <c r="C31" s="154" t="str">
        <f>'6. GGbudgets'!E22</f>
        <v>Savivaldybių biudžetų atitiktis fiskalinės drausmės taisyklėms bus vertinama 2022 m. I pusmečio pabaigoje</v>
      </c>
      <c r="D31" s="167" t="str">
        <f>'6. GGbudgets'!F22</f>
        <v>Savivaldybių biudžetų atitiktis fiskalinės drausmės taisyklėms bus vertinama 2022 m. I pusmečio pabaigoje</v>
      </c>
    </row>
    <row r="32" spans="2:4" ht="48.75" customHeight="1" thickBot="1" x14ac:dyDescent="0.3">
      <c r="B32" s="204" t="s">
        <v>49</v>
      </c>
      <c r="C32" s="206" t="str">
        <f>'6. GGbudgets'!E23</f>
        <v>Will be assessed at the end of the first half of 2022</v>
      </c>
      <c r="D32" s="207" t="str">
        <f>'6. GGbudgets'!F23</f>
        <v>Will be assessed at the end of the first half of 2022</v>
      </c>
    </row>
    <row r="33" spans="2:5" ht="14.4" thickTop="1" x14ac:dyDescent="0.25">
      <c r="B33" s="85"/>
      <c r="C33" s="85"/>
      <c r="D33" s="85"/>
    </row>
    <row r="34" spans="2:5" ht="15" thickBot="1" x14ac:dyDescent="0.35">
      <c r="B34" s="10" t="s">
        <v>50</v>
      </c>
      <c r="C34" s="10"/>
      <c r="D34" s="10"/>
      <c r="E34" s="134" t="s">
        <v>51</v>
      </c>
    </row>
    <row r="35" spans="2:5" ht="15" thickBot="1" x14ac:dyDescent="0.35">
      <c r="B35" s="11" t="s">
        <v>52</v>
      </c>
      <c r="C35" s="300" t="s">
        <v>23</v>
      </c>
      <c r="D35" s="301"/>
      <c r="E35" s="134" t="s">
        <v>53</v>
      </c>
    </row>
    <row r="36" spans="2:5" ht="15" thickBot="1" x14ac:dyDescent="0.35">
      <c r="B36" s="11" t="s">
        <v>54</v>
      </c>
      <c r="C36" s="302" t="s">
        <v>24</v>
      </c>
      <c r="D36" s="303"/>
      <c r="E36" s="237" t="s">
        <v>55</v>
      </c>
    </row>
  </sheetData>
  <mergeCells count="15">
    <mergeCell ref="C11:D11"/>
    <mergeCell ref="B13:D13"/>
    <mergeCell ref="B7:B8"/>
    <mergeCell ref="B3:D3"/>
    <mergeCell ref="B6:D6"/>
    <mergeCell ref="C4:D4"/>
    <mergeCell ref="B9:B10"/>
    <mergeCell ref="C12:D12"/>
    <mergeCell ref="B24:D24"/>
    <mergeCell ref="C35:D35"/>
    <mergeCell ref="C36:D36"/>
    <mergeCell ref="B14:B15"/>
    <mergeCell ref="B16:B17"/>
    <mergeCell ref="B20:B21"/>
    <mergeCell ref="B18:B19"/>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5"/>
  </sheetPr>
  <dimension ref="A1:T62"/>
  <sheetViews>
    <sheetView showGridLines="0" showRowColHeaders="0" zoomScaleNormal="100" workbookViewId="0">
      <pane ySplit="5" topLeftCell="A9" activePane="bottomLeft" state="frozen"/>
      <selection pane="bottomLeft"/>
    </sheetView>
  </sheetViews>
  <sheetFormatPr defaultColWidth="10" defaultRowHeight="13.8" x14ac:dyDescent="0.25"/>
  <cols>
    <col min="1" max="1" width="4.5546875" style="1" customWidth="1"/>
    <col min="2" max="2" width="49.109375" style="1" customWidth="1"/>
    <col min="3" max="3" width="40.88671875" style="1" customWidth="1"/>
    <col min="4" max="4" width="21.109375" style="1" customWidth="1"/>
    <col min="5" max="8" width="11.44140625" style="1" customWidth="1"/>
    <col min="9" max="9" width="11.6640625" style="1" customWidth="1"/>
    <col min="10" max="13" width="11.44140625" style="1" customWidth="1"/>
    <col min="14" max="14" width="11.6640625" style="225" hidden="1" customWidth="1"/>
    <col min="15" max="17" width="11.44140625" style="225" hidden="1" customWidth="1"/>
    <col min="18" max="16384" width="10" style="1"/>
  </cols>
  <sheetData>
    <row r="1" spans="1:20" x14ac:dyDescent="0.25">
      <c r="B1" s="226" t="s">
        <v>19</v>
      </c>
      <c r="C1" s="3"/>
      <c r="D1" s="3"/>
    </row>
    <row r="2" spans="1:20" ht="14.4" thickBot="1" x14ac:dyDescent="0.3">
      <c r="A2" s="12" t="s">
        <v>20</v>
      </c>
      <c r="B2" s="13"/>
      <c r="C2" s="13"/>
      <c r="N2" s="232"/>
      <c r="O2" s="232"/>
      <c r="P2" s="232"/>
      <c r="Q2" s="232"/>
    </row>
    <row r="3" spans="1:20" ht="40.200000000000003" customHeight="1" thickBot="1" x14ac:dyDescent="0.3">
      <c r="B3" s="321" t="s">
        <v>56</v>
      </c>
      <c r="C3" s="322"/>
      <c r="D3" s="322"/>
      <c r="E3" s="322"/>
      <c r="F3" s="322"/>
      <c r="G3" s="322"/>
      <c r="H3" s="322"/>
      <c r="I3" s="322"/>
      <c r="J3" s="322"/>
      <c r="K3" s="322"/>
      <c r="L3" s="322"/>
      <c r="M3" s="322"/>
      <c r="N3" s="322"/>
      <c r="O3" s="322"/>
      <c r="P3" s="322"/>
      <c r="Q3" s="323"/>
    </row>
    <row r="4" spans="1:20" ht="22.95" customHeight="1" thickBot="1" x14ac:dyDescent="0.3">
      <c r="B4" s="335" t="s">
        <v>57</v>
      </c>
      <c r="C4" s="335" t="s">
        <v>58</v>
      </c>
      <c r="D4" s="338" t="s">
        <v>59</v>
      </c>
      <c r="E4" s="336"/>
      <c r="F4" s="336"/>
      <c r="G4" s="336"/>
      <c r="H4" s="336"/>
      <c r="I4" s="336"/>
      <c r="J4" s="336"/>
      <c r="K4" s="336"/>
      <c r="L4" s="336"/>
      <c r="M4" s="337"/>
      <c r="N4" s="341" t="s">
        <v>320</v>
      </c>
      <c r="O4" s="336"/>
      <c r="P4" s="336"/>
      <c r="Q4" s="337"/>
    </row>
    <row r="5" spans="1:20" ht="20.25" customHeight="1" thickBot="1" x14ac:dyDescent="0.3">
      <c r="B5" s="335"/>
      <c r="C5" s="335"/>
      <c r="D5" s="338"/>
      <c r="E5" s="14">
        <v>2013</v>
      </c>
      <c r="F5" s="14">
        <f t="shared" ref="F5:I5" si="0">E5+1</f>
        <v>2014</v>
      </c>
      <c r="G5" s="14">
        <f t="shared" si="0"/>
        <v>2015</v>
      </c>
      <c r="H5" s="14">
        <f t="shared" si="0"/>
        <v>2016</v>
      </c>
      <c r="I5" s="14">
        <f t="shared" si="0"/>
        <v>2017</v>
      </c>
      <c r="J5" s="14">
        <f>I5+1</f>
        <v>2018</v>
      </c>
      <c r="K5" s="14">
        <f>J5+1</f>
        <v>2019</v>
      </c>
      <c r="L5" s="14">
        <f>K5+1</f>
        <v>2020</v>
      </c>
      <c r="M5" s="14">
        <v>2021</v>
      </c>
      <c r="N5" s="14" t="str">
        <f>CONCATENATE(M5+1,"P")</f>
        <v>2022P</v>
      </c>
      <c r="O5" s="14" t="str">
        <f>CONCATENATE(M5+2,"P")</f>
        <v>2023P</v>
      </c>
      <c r="P5" s="14" t="str">
        <f>CONCATENATE(M5+3,"P")</f>
        <v>2024P</v>
      </c>
      <c r="Q5" s="14" t="str">
        <f>CONCATENATE(M5+4,"P")</f>
        <v>2025P</v>
      </c>
    </row>
    <row r="6" spans="1:20" ht="14.4" thickBot="1" x14ac:dyDescent="0.3">
      <c r="B6" s="108" t="s">
        <v>60</v>
      </c>
      <c r="C6" s="108" t="s">
        <v>61</v>
      </c>
      <c r="D6" s="162"/>
      <c r="E6" s="15" t="s">
        <v>288</v>
      </c>
      <c r="F6" s="15" t="s">
        <v>62</v>
      </c>
      <c r="G6" s="15" t="s">
        <v>63</v>
      </c>
      <c r="H6" s="15" t="s">
        <v>64</v>
      </c>
      <c r="I6" s="15" t="s">
        <v>65</v>
      </c>
      <c r="J6" s="15" t="s">
        <v>66</v>
      </c>
      <c r="K6" s="15" t="s">
        <v>67</v>
      </c>
      <c r="L6" s="15" t="s">
        <v>68</v>
      </c>
      <c r="M6" s="15" t="s">
        <v>69</v>
      </c>
      <c r="N6" s="15" t="s">
        <v>70</v>
      </c>
      <c r="O6" s="15" t="s">
        <v>71</v>
      </c>
      <c r="P6" s="15" t="s">
        <v>72</v>
      </c>
      <c r="Q6" s="15" t="s">
        <v>73</v>
      </c>
    </row>
    <row r="7" spans="1:20" ht="14.4" thickBot="1" x14ac:dyDescent="0.3">
      <c r="B7" s="325" t="s">
        <v>74</v>
      </c>
      <c r="C7" s="339" t="s">
        <v>75</v>
      </c>
      <c r="D7" s="16">
        <v>44664</v>
      </c>
      <c r="E7" s="17">
        <v>35039.5</v>
      </c>
      <c r="F7" s="17">
        <v>36581.300000000003</v>
      </c>
      <c r="G7" s="17">
        <v>37345.699999999997</v>
      </c>
      <c r="H7" s="17">
        <v>38889.9</v>
      </c>
      <c r="I7" s="17">
        <v>42276.3</v>
      </c>
      <c r="J7" s="17">
        <v>45514.8</v>
      </c>
      <c r="K7" s="17">
        <v>48859.9</v>
      </c>
      <c r="L7" s="17">
        <v>49507.199999999997</v>
      </c>
      <c r="M7" s="17">
        <v>55383.1</v>
      </c>
      <c r="N7" s="233"/>
      <c r="O7" s="233"/>
      <c r="P7" s="233"/>
      <c r="Q7" s="233"/>
    </row>
    <row r="8" spans="1:20" ht="14.4" thickBot="1" x14ac:dyDescent="0.3">
      <c r="B8" s="326"/>
      <c r="C8" s="339"/>
      <c r="D8" s="16">
        <v>44651</v>
      </c>
      <c r="E8" s="17">
        <v>35039.599999999999</v>
      </c>
      <c r="F8" s="17">
        <v>36581.311000000002</v>
      </c>
      <c r="G8" s="17">
        <v>37345.697999999997</v>
      </c>
      <c r="H8" s="17">
        <v>38889.862000000001</v>
      </c>
      <c r="I8" s="17">
        <v>42276.296999999999</v>
      </c>
      <c r="J8" s="17">
        <v>45514.803</v>
      </c>
      <c r="K8" s="17">
        <v>48859.87</v>
      </c>
      <c r="L8" s="17">
        <v>49507.222999999998</v>
      </c>
      <c r="M8" s="17">
        <v>55325.584999999999</v>
      </c>
      <c r="N8" s="233"/>
      <c r="O8" s="233"/>
      <c r="P8" s="233"/>
      <c r="Q8" s="233"/>
    </row>
    <row r="9" spans="1:20" ht="14.4" thickBot="1" x14ac:dyDescent="0.3">
      <c r="B9" s="325" t="s">
        <v>76</v>
      </c>
      <c r="C9" s="327" t="s">
        <v>77</v>
      </c>
      <c r="D9" s="16">
        <f>$D$7</f>
        <v>44664</v>
      </c>
      <c r="E9" s="18"/>
      <c r="F9" s="18">
        <f>(F7-E7)/E7*100</f>
        <v>4.4001769431641513</v>
      </c>
      <c r="G9" s="18">
        <f t="shared" ref="G9:L9" si="1">(G7-F7)/F7*100</f>
        <v>2.0895922233490722</v>
      </c>
      <c r="H9" s="18">
        <f t="shared" si="1"/>
        <v>4.1348803208937159</v>
      </c>
      <c r="I9" s="18">
        <f t="shared" si="1"/>
        <v>8.7076593151435233</v>
      </c>
      <c r="J9" s="18">
        <f t="shared" si="1"/>
        <v>7.6603203213147788</v>
      </c>
      <c r="K9" s="18">
        <f t="shared" si="1"/>
        <v>7.3494775325828048</v>
      </c>
      <c r="L9" s="18">
        <f t="shared" si="1"/>
        <v>1.3248082783632296</v>
      </c>
      <c r="M9" s="18">
        <f>(M7-L7)/L7*100</f>
        <v>11.868778682696663</v>
      </c>
      <c r="N9" s="233"/>
      <c r="O9" s="233"/>
      <c r="P9" s="233"/>
      <c r="Q9" s="233"/>
    </row>
    <row r="10" spans="1:20" ht="14.4" thickBot="1" x14ac:dyDescent="0.3">
      <c r="B10" s="326"/>
      <c r="C10" s="327"/>
      <c r="D10" s="16">
        <f>$D$8</f>
        <v>44651</v>
      </c>
      <c r="E10" s="18"/>
      <c r="F10" s="18">
        <f>(F8-E8)/E8*100</f>
        <v>4.3999103871048844</v>
      </c>
      <c r="G10" s="18">
        <f t="shared" ref="G10:L10" si="2">(G8-F8)/F8*100</f>
        <v>2.0895560577366816</v>
      </c>
      <c r="H10" s="18">
        <f t="shared" si="2"/>
        <v>4.1347841456866181</v>
      </c>
      <c r="I10" s="18">
        <f t="shared" si="2"/>
        <v>8.7077578213057123</v>
      </c>
      <c r="J10" s="18">
        <f t="shared" si="2"/>
        <v>7.660335057254426</v>
      </c>
      <c r="K10" s="18">
        <f t="shared" si="2"/>
        <v>7.3494045442754148</v>
      </c>
      <c r="L10" s="18">
        <f t="shared" si="2"/>
        <v>1.3249175652739058</v>
      </c>
      <c r="M10" s="18">
        <f>(M8-L8)/L8*100</f>
        <v>11.752551743813223</v>
      </c>
      <c r="N10" s="233"/>
      <c r="O10" s="233"/>
      <c r="P10" s="233"/>
      <c r="Q10" s="233"/>
    </row>
    <row r="11" spans="1:20" ht="14.4" thickBot="1" x14ac:dyDescent="0.3">
      <c r="B11" s="325" t="s">
        <v>78</v>
      </c>
      <c r="C11" s="327" t="s">
        <v>79</v>
      </c>
      <c r="D11" s="16">
        <f>$D$7</f>
        <v>44664</v>
      </c>
      <c r="E11" s="17">
        <v>35354.1</v>
      </c>
      <c r="F11" s="17">
        <v>36604.6</v>
      </c>
      <c r="G11" s="17">
        <v>37345.699999999997</v>
      </c>
      <c r="H11" s="17">
        <v>38286.400000000001</v>
      </c>
      <c r="I11" s="17">
        <v>39926</v>
      </c>
      <c r="J11" s="17">
        <v>41520.400000000001</v>
      </c>
      <c r="K11" s="17">
        <v>43419.4</v>
      </c>
      <c r="L11" s="17">
        <v>43361.9</v>
      </c>
      <c r="M11" s="17">
        <v>45531.6</v>
      </c>
      <c r="N11" s="233"/>
      <c r="O11" s="233"/>
      <c r="P11" s="233"/>
      <c r="Q11" s="233"/>
    </row>
    <row r="12" spans="1:20" ht="14.4" thickBot="1" x14ac:dyDescent="0.3">
      <c r="B12" s="326"/>
      <c r="C12" s="327"/>
      <c r="D12" s="16">
        <f>$D$8</f>
        <v>44651</v>
      </c>
      <c r="E12" s="17">
        <v>35354.100000000006</v>
      </c>
      <c r="F12" s="17">
        <v>36604.607000000004</v>
      </c>
      <c r="G12" s="17">
        <v>37345.699000000001</v>
      </c>
      <c r="H12" s="17">
        <v>38286.372000000003</v>
      </c>
      <c r="I12" s="17">
        <v>39926.023999999998</v>
      </c>
      <c r="J12" s="17">
        <v>41520.392</v>
      </c>
      <c r="K12" s="17">
        <v>43419.440999999999</v>
      </c>
      <c r="L12" s="17">
        <v>43361.94</v>
      </c>
      <c r="M12" s="17">
        <v>45504.705000000002</v>
      </c>
      <c r="N12" s="233"/>
      <c r="O12" s="233"/>
      <c r="P12" s="233"/>
      <c r="Q12" s="233"/>
    </row>
    <row r="13" spans="1:20" ht="14.4" thickBot="1" x14ac:dyDescent="0.3">
      <c r="B13" s="325" t="s">
        <v>80</v>
      </c>
      <c r="C13" s="327" t="s">
        <v>81</v>
      </c>
      <c r="D13" s="16">
        <f>$D$7</f>
        <v>44664</v>
      </c>
      <c r="E13" s="18"/>
      <c r="F13" s="18">
        <f>(F11/E11-1)*100</f>
        <v>3.5370720793345134</v>
      </c>
      <c r="G13" s="18">
        <f t="shared" ref="F13:I14" si="3">(G11/F11-1)*100</f>
        <v>2.0246089289324143</v>
      </c>
      <c r="H13" s="18">
        <f t="shared" si="3"/>
        <v>2.5188977579748251</v>
      </c>
      <c r="I13" s="18">
        <f t="shared" si="3"/>
        <v>4.2824606126457443</v>
      </c>
      <c r="J13" s="18">
        <f>(J11/I11-1)*100</f>
        <v>3.9933877673696383</v>
      </c>
      <c r="K13" s="18">
        <f>(K11-J11)/J11*100</f>
        <v>4.5736553597749534</v>
      </c>
      <c r="L13" s="18">
        <f>(L11-K11)/K11*100</f>
        <v>-0.13242928276300456</v>
      </c>
      <c r="M13" s="18">
        <f t="shared" ref="M13" si="4">(M11-L11)/L11*100</f>
        <v>5.0037014060730671</v>
      </c>
      <c r="N13" s="233"/>
      <c r="O13" s="233"/>
      <c r="P13" s="233"/>
      <c r="Q13" s="233"/>
    </row>
    <row r="14" spans="1:20" ht="14.4" thickBot="1" x14ac:dyDescent="0.3">
      <c r="B14" s="326"/>
      <c r="C14" s="327"/>
      <c r="D14" s="16">
        <f>$D$8</f>
        <v>44651</v>
      </c>
      <c r="E14" s="18"/>
      <c r="F14" s="18">
        <f t="shared" si="3"/>
        <v>3.5370918790182726</v>
      </c>
      <c r="G14" s="18">
        <f t="shared" si="3"/>
        <v>2.024586686588381</v>
      </c>
      <c r="H14" s="18">
        <f t="shared" si="3"/>
        <v>2.5188255279409821</v>
      </c>
      <c r="I14" s="18">
        <f t="shared" si="3"/>
        <v>4.2825995631030178</v>
      </c>
      <c r="J14" s="20">
        <f>(J12/I12-1)*100</f>
        <v>3.9933052186714058</v>
      </c>
      <c r="K14" s="20">
        <f>(K12-J12)/J12*100</f>
        <v>4.5737742553104965</v>
      </c>
      <c r="L14" s="20">
        <f>(L12-K12)/K12*100</f>
        <v>-0.13243146082879456</v>
      </c>
      <c r="M14" s="20">
        <f t="shared" ref="M14" si="5">(M12-L12)/L12*100</f>
        <v>4.9415801045801899</v>
      </c>
      <c r="N14" s="233"/>
      <c r="O14" s="233"/>
      <c r="P14" s="233"/>
      <c r="Q14" s="233"/>
    </row>
    <row r="15" spans="1:20" ht="14.4" thickBot="1" x14ac:dyDescent="0.3">
      <c r="B15" s="325" t="s">
        <v>82</v>
      </c>
      <c r="C15" s="327" t="s">
        <v>83</v>
      </c>
      <c r="D15" s="16">
        <v>44678</v>
      </c>
      <c r="E15" s="21">
        <v>35876.235890000004</v>
      </c>
      <c r="F15" s="21">
        <v>36625.12273542396</v>
      </c>
      <c r="G15" s="21">
        <v>37458.735888731324</v>
      </c>
      <c r="H15" s="21">
        <v>38361.106064545893</v>
      </c>
      <c r="I15" s="21">
        <v>39376.458443892392</v>
      </c>
      <c r="J15" s="21">
        <v>40555.702270625821</v>
      </c>
      <c r="K15" s="21">
        <v>41856.640623527819</v>
      </c>
      <c r="L15" s="21">
        <v>43134.844262230778</v>
      </c>
      <c r="M15" s="21">
        <v>44558.179467741342</v>
      </c>
      <c r="N15" s="21">
        <v>45970.602629485365</v>
      </c>
      <c r="O15" s="21">
        <v>47423.70232695061</v>
      </c>
      <c r="P15" s="21">
        <v>48902.820789561672</v>
      </c>
      <c r="Q15" s="21">
        <v>50393.93699485073</v>
      </c>
    </row>
    <row r="16" spans="1:20" ht="14.4" thickBot="1" x14ac:dyDescent="0.3">
      <c r="B16" s="326"/>
      <c r="C16" s="327"/>
      <c r="D16" s="16">
        <v>44678</v>
      </c>
      <c r="E16" s="22">
        <v>35711.675070678699</v>
      </c>
      <c r="F16" s="22">
        <v>36457.393551098896</v>
      </c>
      <c r="G16" s="22">
        <v>37220.744070961722</v>
      </c>
      <c r="H16" s="22">
        <v>37942.556374723157</v>
      </c>
      <c r="I16" s="22">
        <v>38882.423774276242</v>
      </c>
      <c r="J16" s="22">
        <v>40163.536191435131</v>
      </c>
      <c r="K16" s="22">
        <v>41892.766283226993</v>
      </c>
      <c r="L16" s="22">
        <v>43586.070984071659</v>
      </c>
      <c r="M16" s="22">
        <v>45306.617722829833</v>
      </c>
      <c r="N16" s="22">
        <v>46593.141406218238</v>
      </c>
      <c r="O16" s="22">
        <v>47883.241331631594</v>
      </c>
      <c r="P16" s="22">
        <v>49107.70936005636</v>
      </c>
      <c r="Q16" s="22">
        <v>50261.212100288467</v>
      </c>
      <c r="R16" s="234"/>
      <c r="S16" s="234"/>
      <c r="T16" s="234"/>
    </row>
    <row r="17" spans="2:17" ht="14.4" thickBot="1" x14ac:dyDescent="0.3">
      <c r="B17" s="325" t="s">
        <v>84</v>
      </c>
      <c r="C17" s="327" t="s">
        <v>85</v>
      </c>
      <c r="D17" s="16">
        <f>D15</f>
        <v>44678</v>
      </c>
      <c r="E17" s="21"/>
      <c r="F17" s="21">
        <f>(F15/E15-1)*100</f>
        <v>2.08741755327988</v>
      </c>
      <c r="G17" s="21">
        <f t="shared" ref="F17:J18" si="6">(G15/F15-1)*100</f>
        <v>2.2760692416768036</v>
      </c>
      <c r="H17" s="21">
        <f>(H15/G15-1)*100</f>
        <v>2.4089712437040056</v>
      </c>
      <c r="I17" s="21">
        <f t="shared" si="6"/>
        <v>2.6468276947960723</v>
      </c>
      <c r="J17" s="21">
        <f t="shared" si="6"/>
        <v>2.9947940300769638</v>
      </c>
      <c r="K17" s="21">
        <f>(K15/J15-1)*100</f>
        <v>3.2077815943635013</v>
      </c>
      <c r="L17" s="21">
        <f>(L15/K15-1)*100</f>
        <v>3.0537654710504292</v>
      </c>
      <c r="M17" s="21">
        <f>(M15/K15-1)*100</f>
        <v>6.4542658081713666</v>
      </c>
      <c r="N17" s="233"/>
      <c r="O17" s="233"/>
      <c r="P17" s="233"/>
      <c r="Q17" s="233"/>
    </row>
    <row r="18" spans="2:17" ht="14.4" thickBot="1" x14ac:dyDescent="0.3">
      <c r="B18" s="326"/>
      <c r="C18" s="327"/>
      <c r="D18" s="16">
        <f>$D$16</f>
        <v>44678</v>
      </c>
      <c r="E18" s="22"/>
      <c r="F18" s="22">
        <f t="shared" si="6"/>
        <v>2.0881643858606802</v>
      </c>
      <c r="G18" s="22">
        <f t="shared" si="6"/>
        <v>2.0938153979463969</v>
      </c>
      <c r="H18" s="22">
        <f>(H16/G16-1)*100</f>
        <v>1.9392742455263567</v>
      </c>
      <c r="I18" s="22">
        <f t="shared" si="6"/>
        <v>2.4770797999768224</v>
      </c>
      <c r="J18" s="22">
        <f t="shared" si="6"/>
        <v>3.2948368254924532</v>
      </c>
      <c r="K18" s="22">
        <f>(K16/J16-1)*100</f>
        <v>4.3054727142293414</v>
      </c>
      <c r="L18" s="22">
        <f>(L16/K16-1)*100</f>
        <v>4.0419978222412833</v>
      </c>
      <c r="M18" s="22">
        <f>(M16/K16-1)*100</f>
        <v>8.14902366800656</v>
      </c>
      <c r="N18" s="233"/>
      <c r="O18" s="233"/>
      <c r="P18" s="233"/>
      <c r="Q18" s="233"/>
    </row>
    <row r="19" spans="2:17" ht="14.4" thickBot="1" x14ac:dyDescent="0.3">
      <c r="B19" s="325" t="s">
        <v>86</v>
      </c>
      <c r="C19" s="327" t="s">
        <v>87</v>
      </c>
      <c r="D19" s="16">
        <f>D15</f>
        <v>44678</v>
      </c>
      <c r="E19" s="21">
        <f>(E11/E15-1)*100</f>
        <v>-1.4553809145444463</v>
      </c>
      <c r="F19" s="21">
        <f t="shared" ref="F19:K19" si="7">(F11/F15-1)*100</f>
        <v>-5.6034584709019342E-2</v>
      </c>
      <c r="G19" s="21">
        <f t="shared" si="7"/>
        <v>-0.30176108736582608</v>
      </c>
      <c r="H19" s="21">
        <f t="shared" si="7"/>
        <v>-0.19474429235745161</v>
      </c>
      <c r="I19" s="21">
        <f t="shared" si="7"/>
        <v>1.3956094017206988</v>
      </c>
      <c r="J19" s="21">
        <f>(J11/J15-1)*100</f>
        <v>2.3786981247095884</v>
      </c>
      <c r="K19" s="21">
        <f t="shared" si="7"/>
        <v>3.7335996228845758</v>
      </c>
      <c r="L19" s="21">
        <f t="shared" ref="L19" si="8">(L11/L15-1)*100</f>
        <v>0.52638589903994948</v>
      </c>
      <c r="M19" s="21">
        <f>(M11/M15-1)*100</f>
        <v>2.1846057085060711</v>
      </c>
      <c r="N19" s="233"/>
      <c r="O19" s="233"/>
      <c r="P19" s="233"/>
      <c r="Q19" s="233"/>
    </row>
    <row r="20" spans="2:17" ht="14.4" thickBot="1" x14ac:dyDescent="0.3">
      <c r="B20" s="326"/>
      <c r="C20" s="327"/>
      <c r="D20" s="16">
        <f>$D$16</f>
        <v>44678</v>
      </c>
      <c r="E20" s="22">
        <f t="shared" ref="E20:J20" si="9">(E$12/E16-1)*100</f>
        <v>-1.0012833897345863</v>
      </c>
      <c r="F20" s="22">
        <f t="shared" si="9"/>
        <v>0.40379586844234705</v>
      </c>
      <c r="G20" s="22">
        <f t="shared" si="9"/>
        <v>0.33571314103784111</v>
      </c>
      <c r="H20" s="22">
        <f t="shared" si="9"/>
        <v>0.90614776158279842</v>
      </c>
      <c r="I20" s="22">
        <f t="shared" si="9"/>
        <v>2.6839896395917995</v>
      </c>
      <c r="J20" s="22">
        <f t="shared" si="9"/>
        <v>3.3783275508848742</v>
      </c>
      <c r="K20" s="22">
        <f>(K$12/K16-1)*100</f>
        <v>3.6442442269186026</v>
      </c>
      <c r="L20" s="22">
        <f>(L$12/L16-1)*100</f>
        <v>-0.51422617136920312</v>
      </c>
      <c r="M20" s="22">
        <f>(M$12/M16-1)*100</f>
        <v>0.43721488631527361</v>
      </c>
      <c r="N20" s="233"/>
      <c r="O20" s="233"/>
      <c r="P20" s="233"/>
      <c r="Q20" s="233"/>
    </row>
    <row r="21" spans="2:17" ht="17.399999999999999" customHeight="1" thickBot="1" x14ac:dyDescent="0.3">
      <c r="B21" s="328" t="s">
        <v>88</v>
      </c>
      <c r="C21" s="327" t="s">
        <v>89</v>
      </c>
      <c r="D21" s="16">
        <f>$D$15</f>
        <v>44678</v>
      </c>
      <c r="E21" s="21">
        <f t="shared" ref="E21:M21" si="10">E19*E38</f>
        <v>-0.58069698490323407</v>
      </c>
      <c r="F21" s="21">
        <f t="shared" si="10"/>
        <v>-2.2357799298898719E-2</v>
      </c>
      <c r="G21" s="21">
        <f t="shared" si="10"/>
        <v>-0.12040267385896461</v>
      </c>
      <c r="H21" s="21">
        <f t="shared" si="10"/>
        <v>-7.7702972650623189E-2</v>
      </c>
      <c r="I21" s="21">
        <f t="shared" si="10"/>
        <v>0.55684815128655885</v>
      </c>
      <c r="J21" s="21">
        <f t="shared" si="10"/>
        <v>0.94910055175912578</v>
      </c>
      <c r="K21" s="21">
        <f t="shared" si="10"/>
        <v>1.4897062495309459</v>
      </c>
      <c r="L21" s="21">
        <f t="shared" si="10"/>
        <v>0.21002797371693985</v>
      </c>
      <c r="M21" s="21">
        <f t="shared" si="10"/>
        <v>0.87165767769392244</v>
      </c>
      <c r="N21" s="233"/>
      <c r="O21" s="233"/>
      <c r="P21" s="233"/>
      <c r="Q21" s="233"/>
    </row>
    <row r="22" spans="2:17" ht="14.4" thickBot="1" x14ac:dyDescent="0.3">
      <c r="B22" s="333"/>
      <c r="C22" s="327"/>
      <c r="D22" s="16">
        <f>$D$16</f>
        <v>44678</v>
      </c>
      <c r="E22" s="22">
        <f t="shared" ref="E22:M22" si="11">E20*E38</f>
        <v>-0.39951207250409998</v>
      </c>
      <c r="F22" s="22">
        <f t="shared" si="11"/>
        <v>0.16111455150849649</v>
      </c>
      <c r="G22" s="22">
        <f t="shared" si="11"/>
        <v>0.13394954327409861</v>
      </c>
      <c r="H22" s="22">
        <f t="shared" si="11"/>
        <v>0.3615529568715366</v>
      </c>
      <c r="I22" s="22">
        <f t="shared" si="11"/>
        <v>1.070911866197128</v>
      </c>
      <c r="J22" s="22">
        <f t="shared" si="11"/>
        <v>1.347952692803065</v>
      </c>
      <c r="K22" s="22">
        <f t="shared" si="11"/>
        <v>1.4540534465405226</v>
      </c>
      <c r="L22" s="22">
        <f t="shared" si="11"/>
        <v>-0.20517624237631205</v>
      </c>
      <c r="M22" s="22">
        <f t="shared" si="11"/>
        <v>0.17444873963979418</v>
      </c>
      <c r="N22" s="233"/>
      <c r="O22" s="233"/>
      <c r="P22" s="233"/>
      <c r="Q22" s="233"/>
    </row>
    <row r="23" spans="2:17" ht="17.399999999999999" customHeight="1" thickBot="1" x14ac:dyDescent="0.3">
      <c r="B23" s="328" t="s">
        <v>90</v>
      </c>
      <c r="C23" s="327" t="s">
        <v>91</v>
      </c>
      <c r="D23" s="16">
        <f>$D$15</f>
        <v>44678</v>
      </c>
      <c r="E23" s="21">
        <f t="shared" ref="E23:M23" si="12">E19*E39</f>
        <v>0</v>
      </c>
      <c r="F23" s="21">
        <f t="shared" si="12"/>
        <v>0</v>
      </c>
      <c r="G23" s="21">
        <f t="shared" si="12"/>
        <v>0</v>
      </c>
      <c r="H23" s="21">
        <f t="shared" si="12"/>
        <v>0</v>
      </c>
      <c r="I23" s="21">
        <f t="shared" si="12"/>
        <v>0</v>
      </c>
      <c r="J23" s="21">
        <f t="shared" si="12"/>
        <v>0</v>
      </c>
      <c r="K23" s="21">
        <f t="shared" si="12"/>
        <v>0</v>
      </c>
      <c r="L23" s="21">
        <f t="shared" si="12"/>
        <v>4.6321959115515551E-2</v>
      </c>
      <c r="M23" s="21">
        <f t="shared" si="12"/>
        <v>0.19224530234853424</v>
      </c>
      <c r="N23" s="233"/>
      <c r="O23" s="233"/>
      <c r="P23" s="233"/>
      <c r="Q23" s="233"/>
    </row>
    <row r="24" spans="2:17" ht="14.4" thickBot="1" x14ac:dyDescent="0.3">
      <c r="B24" s="328"/>
      <c r="C24" s="327"/>
      <c r="D24" s="16">
        <f>$D$16</f>
        <v>44678</v>
      </c>
      <c r="E24" s="22">
        <f t="shared" ref="E24:M24" si="13">E20*E39</f>
        <v>0</v>
      </c>
      <c r="F24" s="22">
        <f t="shared" si="13"/>
        <v>0</v>
      </c>
      <c r="G24" s="22">
        <f t="shared" si="13"/>
        <v>0</v>
      </c>
      <c r="H24" s="22">
        <f t="shared" si="13"/>
        <v>0</v>
      </c>
      <c r="I24" s="22">
        <f t="shared" si="13"/>
        <v>0</v>
      </c>
      <c r="J24" s="22">
        <f t="shared" si="13"/>
        <v>0</v>
      </c>
      <c r="K24" s="22">
        <f t="shared" si="13"/>
        <v>0</v>
      </c>
      <c r="L24" s="22">
        <f t="shared" si="13"/>
        <v>-4.5251903080489875E-2</v>
      </c>
      <c r="M24" s="22">
        <f t="shared" si="13"/>
        <v>3.8474909995744072E-2</v>
      </c>
      <c r="N24" s="233"/>
      <c r="O24" s="233"/>
      <c r="P24" s="233"/>
      <c r="Q24" s="233"/>
    </row>
    <row r="25" spans="2:17" s="23" customFormat="1" ht="15.75" customHeight="1" thickBot="1" x14ac:dyDescent="0.3">
      <c r="B25" s="329" t="s">
        <v>92</v>
      </c>
      <c r="C25" s="331" t="s">
        <v>93</v>
      </c>
      <c r="D25" s="16">
        <f>$D$15</f>
        <v>44678</v>
      </c>
      <c r="E25" s="19"/>
      <c r="F25" s="19"/>
      <c r="G25" s="19"/>
      <c r="H25" s="19"/>
      <c r="I25" s="19"/>
      <c r="J25" s="21">
        <f>J19*J40</f>
        <v>0</v>
      </c>
      <c r="K25" s="21">
        <f>K19*K40</f>
        <v>0</v>
      </c>
      <c r="L25" s="21">
        <f>L19*L40</f>
        <v>2.2108207759677881E-2</v>
      </c>
      <c r="M25" s="21">
        <f>M19*M40</f>
        <v>9.1753439757254987E-2</v>
      </c>
      <c r="N25" s="233"/>
      <c r="O25" s="233"/>
      <c r="P25" s="233"/>
      <c r="Q25" s="233"/>
    </row>
    <row r="26" spans="2:17" s="23" customFormat="1" ht="14.4" thickBot="1" x14ac:dyDescent="0.3">
      <c r="B26" s="330"/>
      <c r="C26" s="332"/>
      <c r="D26" s="16">
        <f>$D$16</f>
        <v>44678</v>
      </c>
      <c r="E26" s="19"/>
      <c r="F26" s="19"/>
      <c r="G26" s="19"/>
      <c r="H26" s="19"/>
      <c r="I26" s="19"/>
      <c r="J26" s="22">
        <f>J20*J40</f>
        <v>0</v>
      </c>
      <c r="K26" s="22">
        <f>K20*K40</f>
        <v>0</v>
      </c>
      <c r="L26" s="22">
        <f>L20*L40</f>
        <v>-2.1597499197506531E-2</v>
      </c>
      <c r="M26" s="22">
        <f>M20*M40</f>
        <v>1.8363025225241494E-2</v>
      </c>
      <c r="N26" s="233"/>
      <c r="O26" s="233"/>
      <c r="P26" s="233"/>
      <c r="Q26" s="233"/>
    </row>
    <row r="27" spans="2:17" ht="14.4" thickBot="1" x14ac:dyDescent="0.3">
      <c r="B27" s="325" t="s">
        <v>94</v>
      </c>
      <c r="C27" s="327" t="s">
        <v>95</v>
      </c>
      <c r="D27" s="16">
        <f>$D$7</f>
        <v>44664</v>
      </c>
      <c r="E27" s="19">
        <f>E7/E11*100</f>
        <v>99.110145640816768</v>
      </c>
      <c r="F27" s="19">
        <f t="shared" ref="E27:M28" si="14">F7/F11*100</f>
        <v>99.936346797943443</v>
      </c>
      <c r="G27" s="19">
        <f t="shared" si="14"/>
        <v>100</v>
      </c>
      <c r="H27" s="19">
        <f t="shared" si="14"/>
        <v>101.57627773830917</v>
      </c>
      <c r="I27" s="19">
        <f t="shared" si="14"/>
        <v>105.88664028452639</v>
      </c>
      <c r="J27" s="19">
        <f t="shared" si="14"/>
        <v>109.62033121068198</v>
      </c>
      <c r="K27" s="19">
        <f t="shared" si="14"/>
        <v>112.53011326734132</v>
      </c>
      <c r="L27" s="19">
        <f t="shared" ref="L27" si="15">L7/L11*100</f>
        <v>114.17211884165593</v>
      </c>
      <c r="M27" s="19">
        <f t="shared" si="14"/>
        <v>121.63662159906528</v>
      </c>
      <c r="N27" s="233"/>
      <c r="O27" s="233"/>
      <c r="P27" s="233"/>
      <c r="Q27" s="233"/>
    </row>
    <row r="28" spans="2:17" ht="14.4" thickBot="1" x14ac:dyDescent="0.3">
      <c r="B28" s="326"/>
      <c r="C28" s="327"/>
      <c r="D28" s="16">
        <f>$D$8</f>
        <v>44651</v>
      </c>
      <c r="E28" s="19">
        <f t="shared" si="14"/>
        <v>99.110428493442043</v>
      </c>
      <c r="F28" s="19">
        <f>F8/F12*100</f>
        <v>99.936357737702238</v>
      </c>
      <c r="G28" s="19">
        <f t="shared" si="14"/>
        <v>99.999997322315465</v>
      </c>
      <c r="H28" s="19">
        <f t="shared" si="14"/>
        <v>101.57625277213521</v>
      </c>
      <c r="I28" s="19">
        <f t="shared" si="14"/>
        <v>105.88656912093226</v>
      </c>
      <c r="J28" s="19">
        <f t="shared" si="14"/>
        <v>109.62035955729898</v>
      </c>
      <c r="K28" s="19">
        <f t="shared" si="14"/>
        <v>112.52993791421682</v>
      </c>
      <c r="L28" s="19">
        <f t="shared" ref="L28" si="16">L8/L12*100</f>
        <v>114.1720665634425</v>
      </c>
      <c r="M28" s="19">
        <f>M8/M12*100</f>
        <v>121.58211991485275</v>
      </c>
      <c r="N28" s="233"/>
      <c r="O28" s="233"/>
      <c r="P28" s="233"/>
      <c r="Q28" s="233"/>
    </row>
    <row r="29" spans="2:17" ht="14.4" thickBot="1" x14ac:dyDescent="0.3">
      <c r="B29" s="325" t="s">
        <v>96</v>
      </c>
      <c r="C29" s="327" t="s">
        <v>97</v>
      </c>
      <c r="D29" s="16">
        <f>$D$7</f>
        <v>44664</v>
      </c>
      <c r="E29" s="19"/>
      <c r="F29" s="19">
        <f>(F27/E27-1)*100</f>
        <v>0.83361915350310678</v>
      </c>
      <c r="G29" s="19">
        <f t="shared" ref="G29:L30" si="17">(G27/F27-1)*100</f>
        <v>6.3693745164861149E-2</v>
      </c>
      <c r="H29" s="19">
        <f t="shared" si="17"/>
        <v>1.5762777383091731</v>
      </c>
      <c r="I29" s="19">
        <f t="shared" si="17"/>
        <v>4.2434736162728859</v>
      </c>
      <c r="J29" s="19">
        <f t="shared" si="17"/>
        <v>3.5261208742886296</v>
      </c>
      <c r="K29" s="19">
        <f t="shared" si="17"/>
        <v>2.6544182311098563</v>
      </c>
      <c r="L29" s="19">
        <f t="shared" si="17"/>
        <v>1.459169929398052</v>
      </c>
      <c r="M29" s="19">
        <f>(M27/K27-1)*100</f>
        <v>8.0925079228253658</v>
      </c>
      <c r="N29" s="233"/>
      <c r="O29" s="233"/>
      <c r="P29" s="233"/>
      <c r="Q29" s="233"/>
    </row>
    <row r="30" spans="2:17" ht="14.4" thickBot="1" x14ac:dyDescent="0.3">
      <c r="B30" s="326"/>
      <c r="C30" s="327"/>
      <c r="D30" s="16">
        <f>$D$8</f>
        <v>44651</v>
      </c>
      <c r="E30" s="19"/>
      <c r="F30" s="19">
        <f t="shared" ref="F30:I30" si="18">(F28/E28-1)*100</f>
        <v>0.83334242098938027</v>
      </c>
      <c r="G30" s="19">
        <f t="shared" si="18"/>
        <v>6.3680112077180162E-2</v>
      </c>
      <c r="H30" s="19">
        <f t="shared" si="18"/>
        <v>1.5762554920268901</v>
      </c>
      <c r="I30" s="19">
        <f t="shared" si="18"/>
        <v>4.243429178733682</v>
      </c>
      <c r="J30" s="19">
        <f t="shared" si="17"/>
        <v>3.5262172222261468</v>
      </c>
      <c r="K30" s="19">
        <f>(K28/J28-1)*100</f>
        <v>2.6542317217970623</v>
      </c>
      <c r="L30" s="19">
        <f>(L28/K28-1)*100</f>
        <v>1.4592815740087861</v>
      </c>
      <c r="M30" s="19">
        <f>(M28/K28-1)*100</f>
        <v>8.0442433084221054</v>
      </c>
      <c r="N30" s="233"/>
      <c r="O30" s="233"/>
      <c r="P30" s="233"/>
      <c r="Q30" s="233"/>
    </row>
    <row r="31" spans="2:17" ht="28.8" thickBot="1" x14ac:dyDescent="0.3">
      <c r="B31" s="266" t="s">
        <v>293</v>
      </c>
      <c r="C31" s="265" t="s">
        <v>294</v>
      </c>
      <c r="D31" s="16">
        <f>$D$8</f>
        <v>44651</v>
      </c>
      <c r="E31" s="17">
        <v>1.2</v>
      </c>
      <c r="F31" s="17">
        <v>0.2</v>
      </c>
      <c r="G31" s="17">
        <v>-0.7</v>
      </c>
      <c r="H31" s="17">
        <v>0.7</v>
      </c>
      <c r="I31" s="17">
        <v>3.7</v>
      </c>
      <c r="J31" s="17">
        <v>2.5</v>
      </c>
      <c r="K31" s="17">
        <v>2.2000000000000002</v>
      </c>
      <c r="L31" s="17">
        <v>1.1000000000000001</v>
      </c>
      <c r="M31" s="17">
        <v>4.5999999999999996</v>
      </c>
      <c r="N31" s="233"/>
      <c r="O31" s="233"/>
      <c r="P31" s="233"/>
      <c r="Q31" s="233"/>
    </row>
    <row r="32" spans="2:17" ht="28.8" thickBot="1" x14ac:dyDescent="0.3">
      <c r="B32" s="211" t="s">
        <v>98</v>
      </c>
      <c r="C32" s="212" t="s">
        <v>99</v>
      </c>
      <c r="D32" s="16">
        <v>44678</v>
      </c>
      <c r="E32" s="17">
        <v>11520.159099999999</v>
      </c>
      <c r="F32" s="17">
        <v>11783.874300000001</v>
      </c>
      <c r="G32" s="17">
        <v>12214.623900000001</v>
      </c>
      <c r="H32" s="17">
        <v>12552.5</v>
      </c>
      <c r="I32" s="17">
        <v>13076.045699999999</v>
      </c>
      <c r="J32" s="17">
        <v>13531.5393</v>
      </c>
      <c r="K32" s="17">
        <v>14017.168800000001</v>
      </c>
      <c r="L32" s="17">
        <v>13403.1494</v>
      </c>
      <c r="M32" s="17">
        <v>14448.3416</v>
      </c>
      <c r="N32" s="233"/>
      <c r="O32" s="233"/>
      <c r="P32" s="233"/>
      <c r="Q32" s="233"/>
    </row>
    <row r="33" spans="2:17" ht="29.25" customHeight="1" thickBot="1" x14ac:dyDescent="0.3">
      <c r="B33" s="211" t="s">
        <v>100</v>
      </c>
      <c r="C33" s="212" t="s">
        <v>101</v>
      </c>
      <c r="D33" s="16">
        <f>$D$32</f>
        <v>44678</v>
      </c>
      <c r="E33" s="18"/>
      <c r="F33" s="18">
        <f>(F32/E32-1)*100</f>
        <v>2.2891628293571165</v>
      </c>
      <c r="G33" s="18">
        <f t="shared" ref="G33:I33" si="19">(G32/F32-1)*100</f>
        <v>3.6554157744197902</v>
      </c>
      <c r="H33" s="18">
        <f t="shared" si="19"/>
        <v>2.7661604873482792</v>
      </c>
      <c r="I33" s="18">
        <f t="shared" si="19"/>
        <v>4.1708480382393942</v>
      </c>
      <c r="J33" s="18">
        <f>(J32/I32-1)*100</f>
        <v>3.4834200678879768</v>
      </c>
      <c r="K33" s="18">
        <f>(K32/J32-1)*100</f>
        <v>3.5888710754437225</v>
      </c>
      <c r="L33" s="18">
        <f>(L32/K32-1)*100</f>
        <v>-4.3804808856978354</v>
      </c>
      <c r="M33" s="18">
        <f>(M32/K32-1)*100</f>
        <v>3.0760334426449765</v>
      </c>
      <c r="N33" s="233"/>
      <c r="O33" s="233"/>
      <c r="P33" s="233"/>
      <c r="Q33" s="233"/>
    </row>
    <row r="34" spans="2:17" s="25" customFormat="1" ht="14.4" thickBot="1" x14ac:dyDescent="0.3">
      <c r="B34" s="329" t="s">
        <v>102</v>
      </c>
      <c r="C34" s="331" t="s">
        <v>103</v>
      </c>
      <c r="D34" s="16">
        <v>44678</v>
      </c>
      <c r="E34" s="17">
        <v>-920.3</v>
      </c>
      <c r="F34" s="17">
        <v>-220</v>
      </c>
      <c r="G34" s="17">
        <v>-111.8</v>
      </c>
      <c r="H34" s="17">
        <v>97.8</v>
      </c>
      <c r="I34" s="17">
        <v>176.4</v>
      </c>
      <c r="J34" s="17">
        <v>244.5</v>
      </c>
      <c r="K34" s="17">
        <v>231.4</v>
      </c>
      <c r="L34" s="17">
        <v>-3604.9</v>
      </c>
      <c r="M34" s="17">
        <v>-554.6</v>
      </c>
      <c r="N34" s="233"/>
      <c r="O34" s="233"/>
      <c r="P34" s="233"/>
      <c r="Q34" s="233"/>
    </row>
    <row r="35" spans="2:17" s="25" customFormat="1" ht="14.4" thickBot="1" x14ac:dyDescent="0.3">
      <c r="B35" s="342"/>
      <c r="C35" s="332"/>
      <c r="D35" s="16">
        <v>44678</v>
      </c>
      <c r="E35" s="17">
        <v>-920.3</v>
      </c>
      <c r="F35" s="17">
        <v>-220</v>
      </c>
      <c r="G35" s="17">
        <v>-111.8</v>
      </c>
      <c r="H35" s="17">
        <v>97.8</v>
      </c>
      <c r="I35" s="17">
        <v>176.4</v>
      </c>
      <c r="J35" s="17">
        <v>244.5</v>
      </c>
      <c r="K35" s="17">
        <v>231.4</v>
      </c>
      <c r="L35" s="17">
        <v>-3604.9</v>
      </c>
      <c r="M35" s="17">
        <v>-554.6</v>
      </c>
      <c r="N35" s="233"/>
      <c r="O35" s="233"/>
      <c r="P35" s="233"/>
      <c r="Q35" s="233"/>
    </row>
    <row r="36" spans="2:17" ht="14.4" thickBot="1" x14ac:dyDescent="0.3">
      <c r="B36" s="325" t="s">
        <v>104</v>
      </c>
      <c r="C36" s="327" t="s">
        <v>105</v>
      </c>
      <c r="D36" s="16">
        <f>+D34</f>
        <v>44678</v>
      </c>
      <c r="E36" s="19">
        <f t="shared" ref="E36:M36" si="20">E34/E7*100</f>
        <v>-2.6264644187274357</v>
      </c>
      <c r="F36" s="19">
        <f t="shared" si="20"/>
        <v>-0.60140016893877468</v>
      </c>
      <c r="G36" s="19">
        <f t="shared" si="20"/>
        <v>-0.29936512101794854</v>
      </c>
      <c r="H36" s="19">
        <f t="shared" si="20"/>
        <v>0.25147917582714274</v>
      </c>
      <c r="I36" s="19">
        <f t="shared" si="20"/>
        <v>0.41725505779834093</v>
      </c>
      <c r="J36" s="19">
        <f t="shared" si="20"/>
        <v>0.5371879037148356</v>
      </c>
      <c r="K36" s="19">
        <f t="shared" si="20"/>
        <v>0.4735990045006232</v>
      </c>
      <c r="L36" s="19">
        <f t="shared" si="20"/>
        <v>-7.2815671255898131</v>
      </c>
      <c r="M36" s="19">
        <f t="shared" si="20"/>
        <v>-1.0013885102134044</v>
      </c>
      <c r="N36" s="233"/>
      <c r="O36" s="233"/>
      <c r="P36" s="233"/>
      <c r="Q36" s="233"/>
    </row>
    <row r="37" spans="2:17" ht="14.4" thickBot="1" x14ac:dyDescent="0.3">
      <c r="B37" s="326"/>
      <c r="C37" s="327"/>
      <c r="D37" s="16">
        <f>D8</f>
        <v>44651</v>
      </c>
      <c r="E37" s="19">
        <f t="shared" ref="E37:M37" si="21">E35/E8*100</f>
        <v>-2.6264569230242354</v>
      </c>
      <c r="F37" s="19">
        <f t="shared" si="21"/>
        <v>-0.60139998809774753</v>
      </c>
      <c r="G37" s="19">
        <f t="shared" si="21"/>
        <v>-0.29936513705005596</v>
      </c>
      <c r="H37" s="19">
        <f t="shared" si="21"/>
        <v>0.25147942155207437</v>
      </c>
      <c r="I37" s="19">
        <f t="shared" si="21"/>
        <v>0.4172550874074899</v>
      </c>
      <c r="J37" s="19">
        <f t="shared" si="21"/>
        <v>0.53718786830737242</v>
      </c>
      <c r="K37" s="19">
        <f t="shared" si="21"/>
        <v>0.47359929529079797</v>
      </c>
      <c r="L37" s="19">
        <f t="shared" si="21"/>
        <v>-7.2815637427290163</v>
      </c>
      <c r="M37" s="19">
        <f t="shared" si="21"/>
        <v>-1.0024295269539401</v>
      </c>
      <c r="N37" s="233"/>
      <c r="O37" s="233"/>
      <c r="P37" s="233"/>
      <c r="Q37" s="233"/>
    </row>
    <row r="38" spans="2:17" ht="36.75" customHeight="1" thickBot="1" x14ac:dyDescent="0.3">
      <c r="B38" s="211" t="s">
        <v>106</v>
      </c>
      <c r="C38" s="216" t="s">
        <v>107</v>
      </c>
      <c r="D38" s="16">
        <v>43910</v>
      </c>
      <c r="E38" s="27">
        <v>0.39900000000000002</v>
      </c>
      <c r="F38" s="27">
        <v>0.39900000000000002</v>
      </c>
      <c r="G38" s="27">
        <v>0.39900000000000002</v>
      </c>
      <c r="H38" s="27">
        <v>0.39900000000000002</v>
      </c>
      <c r="I38" s="27">
        <v>0.39900000000000002</v>
      </c>
      <c r="J38" s="27">
        <v>0.39900000000000002</v>
      </c>
      <c r="K38" s="27">
        <v>0.39900000000000002</v>
      </c>
      <c r="L38" s="27">
        <v>0.39900000000000002</v>
      </c>
      <c r="M38" s="27">
        <v>0.39900000000000002</v>
      </c>
      <c r="N38" s="233"/>
      <c r="O38" s="233"/>
      <c r="P38" s="233"/>
      <c r="Q38" s="233"/>
    </row>
    <row r="39" spans="2:17" ht="36.75" customHeight="1" thickBot="1" x14ac:dyDescent="0.3">
      <c r="B39" s="211" t="s">
        <v>108</v>
      </c>
      <c r="C39" s="216" t="s">
        <v>109</v>
      </c>
      <c r="D39" s="16">
        <f>D26</f>
        <v>44678</v>
      </c>
      <c r="E39" s="28"/>
      <c r="F39" s="28"/>
      <c r="G39" s="20"/>
      <c r="H39" s="28"/>
      <c r="I39" s="28"/>
      <c r="J39" s="20"/>
      <c r="K39" s="28"/>
      <c r="L39" s="22">
        <v>8.7999999999999995E-2</v>
      </c>
      <c r="M39" s="22">
        <v>8.7999999999999995E-2</v>
      </c>
      <c r="N39" s="233"/>
      <c r="O39" s="233"/>
      <c r="P39" s="233"/>
      <c r="Q39" s="233"/>
    </row>
    <row r="40" spans="2:17" ht="36.75" customHeight="1" thickBot="1" x14ac:dyDescent="0.3">
      <c r="B40" s="213" t="s">
        <v>110</v>
      </c>
      <c r="C40" s="212" t="s">
        <v>111</v>
      </c>
      <c r="D40" s="16">
        <f>D26</f>
        <v>44678</v>
      </c>
      <c r="E40" s="28"/>
      <c r="F40" s="28"/>
      <c r="G40" s="28"/>
      <c r="H40" s="28"/>
      <c r="I40" s="28"/>
      <c r="J40" s="20"/>
      <c r="K40" s="20"/>
      <c r="L40" s="20">
        <v>4.2000000000000003E-2</v>
      </c>
      <c r="M40" s="20">
        <v>4.2000000000000003E-2</v>
      </c>
      <c r="N40" s="233"/>
      <c r="O40" s="233"/>
      <c r="P40" s="233"/>
      <c r="Q40" s="233"/>
    </row>
    <row r="41" spans="2:17" x14ac:dyDescent="0.25">
      <c r="B41" s="29"/>
      <c r="C41" s="29"/>
      <c r="D41" s="29"/>
    </row>
    <row r="42" spans="2:17" ht="15" thickBot="1" x14ac:dyDescent="0.35">
      <c r="C42" s="10" t="s">
        <v>50</v>
      </c>
      <c r="E42" s="324"/>
      <c r="F42" s="324"/>
      <c r="G42" s="324"/>
      <c r="H42" s="324"/>
      <c r="I42" s="324"/>
      <c r="N42" s="235"/>
    </row>
    <row r="43" spans="2:17" ht="15" thickBot="1" x14ac:dyDescent="0.35">
      <c r="C43" s="10" t="s">
        <v>112</v>
      </c>
      <c r="D43" s="30"/>
      <c r="E43" s="324"/>
      <c r="F43" s="324"/>
      <c r="G43" s="324"/>
      <c r="H43" s="324"/>
      <c r="I43" s="324"/>
      <c r="J43" s="24"/>
      <c r="K43" s="24"/>
      <c r="L43" s="24"/>
    </row>
    <row r="44" spans="2:17" ht="15" thickBot="1" x14ac:dyDescent="0.35">
      <c r="B44" s="10" t="s">
        <v>319</v>
      </c>
      <c r="C44" s="10" t="s">
        <v>113</v>
      </c>
      <c r="D44" s="31"/>
      <c r="E44" s="324"/>
      <c r="F44" s="324"/>
      <c r="G44" s="324"/>
      <c r="H44" s="324"/>
      <c r="I44" s="324"/>
      <c r="J44" s="24"/>
      <c r="K44" s="24"/>
      <c r="L44" s="24"/>
    </row>
    <row r="45" spans="2:17" ht="15" customHeight="1" thickBot="1" x14ac:dyDescent="0.35">
      <c r="B45" s="10"/>
      <c r="C45" s="10" t="s">
        <v>114</v>
      </c>
      <c r="D45" s="32"/>
      <c r="E45" s="340"/>
      <c r="F45" s="340"/>
      <c r="G45" s="340"/>
      <c r="H45" s="340"/>
      <c r="I45" s="340"/>
      <c r="J45" s="340"/>
      <c r="K45" s="340"/>
      <c r="L45" s="243"/>
    </row>
    <row r="46" spans="2:17" ht="15" thickBot="1" x14ac:dyDescent="0.35">
      <c r="C46" s="10" t="s">
        <v>116</v>
      </c>
      <c r="E46" s="324"/>
      <c r="F46" s="324"/>
      <c r="G46" s="324"/>
      <c r="H46" s="324"/>
      <c r="I46" s="324"/>
    </row>
    <row r="47" spans="2:17" ht="14.4" thickBot="1" x14ac:dyDescent="0.3">
      <c r="C47" s="33" t="s">
        <v>117</v>
      </c>
      <c r="D47" s="34"/>
      <c r="E47" s="334"/>
      <c r="F47" s="334"/>
      <c r="G47" s="334"/>
      <c r="H47" s="334"/>
      <c r="I47" s="334"/>
    </row>
    <row r="48" spans="2:17" x14ac:dyDescent="0.25">
      <c r="C48" s="36" t="s">
        <v>119</v>
      </c>
      <c r="D48" s="37">
        <v>4.9999999999999899E-2</v>
      </c>
      <c r="E48" s="35"/>
    </row>
    <row r="49" spans="5:17" x14ac:dyDescent="0.25">
      <c r="E49" s="35"/>
    </row>
    <row r="50" spans="5:17" x14ac:dyDescent="0.25">
      <c r="E50" s="35"/>
    </row>
    <row r="51" spans="5:17" x14ac:dyDescent="0.25">
      <c r="E51" s="35"/>
      <c r="J51" s="38"/>
      <c r="K51" s="38"/>
      <c r="L51" s="38"/>
    </row>
    <row r="52" spans="5:17" x14ac:dyDescent="0.25">
      <c r="E52" s="35"/>
      <c r="J52" s="38"/>
      <c r="K52" s="38"/>
      <c r="L52" s="38"/>
    </row>
    <row r="53" spans="5:17" x14ac:dyDescent="0.25">
      <c r="E53" s="35"/>
      <c r="J53" s="38"/>
      <c r="K53" s="38"/>
      <c r="L53" s="38"/>
      <c r="Q53" s="236"/>
    </row>
    <row r="54" spans="5:17" x14ac:dyDescent="0.25">
      <c r="E54" s="35"/>
      <c r="J54" s="38"/>
      <c r="K54" s="38"/>
      <c r="L54" s="38"/>
      <c r="Q54" s="236"/>
    </row>
    <row r="55" spans="5:17" x14ac:dyDescent="0.25">
      <c r="E55" s="35"/>
      <c r="J55" s="38"/>
      <c r="K55" s="38"/>
      <c r="L55" s="38"/>
      <c r="Q55" s="236"/>
    </row>
    <row r="56" spans="5:17" x14ac:dyDescent="0.25">
      <c r="J56" s="38"/>
      <c r="K56" s="38"/>
      <c r="L56" s="38"/>
      <c r="Q56" s="236"/>
    </row>
    <row r="57" spans="5:17" x14ac:dyDescent="0.25">
      <c r="J57" s="38"/>
      <c r="K57" s="38"/>
      <c r="L57" s="38"/>
      <c r="Q57" s="236"/>
    </row>
    <row r="58" spans="5:17" x14ac:dyDescent="0.25">
      <c r="J58" s="38"/>
      <c r="K58" s="38"/>
      <c r="L58" s="38"/>
      <c r="Q58" s="236"/>
    </row>
    <row r="59" spans="5:17" x14ac:dyDescent="0.25">
      <c r="J59" s="38"/>
      <c r="K59" s="38"/>
      <c r="L59" s="38"/>
      <c r="Q59" s="236"/>
    </row>
    <row r="60" spans="5:17" x14ac:dyDescent="0.25">
      <c r="J60" s="38"/>
      <c r="K60" s="38"/>
      <c r="L60" s="38"/>
      <c r="Q60" s="236"/>
    </row>
    <row r="61" spans="5:17" x14ac:dyDescent="0.25">
      <c r="J61" s="38"/>
      <c r="K61" s="38"/>
      <c r="L61" s="38"/>
      <c r="Q61" s="236"/>
    </row>
    <row r="62" spans="5:17" x14ac:dyDescent="0.25">
      <c r="J62" s="38"/>
      <c r="K62" s="38"/>
      <c r="L62" s="38"/>
      <c r="N62" s="236"/>
    </row>
  </sheetData>
  <mergeCells count="40">
    <mergeCell ref="E45:K45"/>
    <mergeCell ref="N4:Q4"/>
    <mergeCell ref="C27:C28"/>
    <mergeCell ref="B36:B37"/>
    <mergeCell ref="C36:C37"/>
    <mergeCell ref="B29:B30"/>
    <mergeCell ref="C29:C30"/>
    <mergeCell ref="B34:B35"/>
    <mergeCell ref="C34:C35"/>
    <mergeCell ref="E46:I46"/>
    <mergeCell ref="E47:I47"/>
    <mergeCell ref="B4:B5"/>
    <mergeCell ref="C4:C5"/>
    <mergeCell ref="E4:M4"/>
    <mergeCell ref="B9:B10"/>
    <mergeCell ref="C9:C10"/>
    <mergeCell ref="D4:D5"/>
    <mergeCell ref="B7:B8"/>
    <mergeCell ref="C7:C8"/>
    <mergeCell ref="B15:B16"/>
    <mergeCell ref="C15:C16"/>
    <mergeCell ref="B17:B18"/>
    <mergeCell ref="C17:C18"/>
    <mergeCell ref="B11:B12"/>
    <mergeCell ref="C11:C12"/>
    <mergeCell ref="B3:Q3"/>
    <mergeCell ref="E42:I42"/>
    <mergeCell ref="E43:I43"/>
    <mergeCell ref="E44:I44"/>
    <mergeCell ref="B13:B14"/>
    <mergeCell ref="C13:C14"/>
    <mergeCell ref="B23:B24"/>
    <mergeCell ref="C23:C24"/>
    <mergeCell ref="B25:B26"/>
    <mergeCell ref="C25:C26"/>
    <mergeCell ref="B19:B20"/>
    <mergeCell ref="C19:C20"/>
    <mergeCell ref="B21:B22"/>
    <mergeCell ref="C21:C22"/>
    <mergeCell ref="B27:B28"/>
  </mergeCells>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5"/>
  </sheetPr>
  <dimension ref="A1:M42"/>
  <sheetViews>
    <sheetView showGridLines="0" showRowColHeaders="0" zoomScaleNormal="100" workbookViewId="0"/>
  </sheetViews>
  <sheetFormatPr defaultColWidth="10" defaultRowHeight="13.8" x14ac:dyDescent="0.25"/>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9" x14ac:dyDescent="0.25">
      <c r="B1" s="226" t="s">
        <v>19</v>
      </c>
      <c r="C1" s="3"/>
      <c r="D1" s="3"/>
      <c r="E1" s="3"/>
      <c r="F1" s="3"/>
      <c r="G1" s="3"/>
      <c r="H1" s="3"/>
    </row>
    <row r="2" spans="1:9" ht="14.4" thickBot="1" x14ac:dyDescent="0.3">
      <c r="A2" s="12"/>
    </row>
    <row r="3" spans="1:9" ht="34.200000000000003" customHeight="1" thickBot="1" x14ac:dyDescent="0.3">
      <c r="B3" s="343" t="s">
        <v>120</v>
      </c>
      <c r="C3" s="344"/>
      <c r="D3" s="238"/>
      <c r="E3" s="238"/>
      <c r="F3" s="238"/>
      <c r="G3" s="238"/>
      <c r="H3" s="239"/>
    </row>
    <row r="4" spans="1:9" ht="21.75" customHeight="1" thickBot="1" x14ac:dyDescent="0.3">
      <c r="B4" s="345" t="s">
        <v>57</v>
      </c>
      <c r="C4" s="345" t="s">
        <v>121</v>
      </c>
      <c r="D4" s="345" t="s">
        <v>122</v>
      </c>
      <c r="E4" s="349" t="s">
        <v>23</v>
      </c>
      <c r="F4" s="350"/>
      <c r="G4" s="354" t="s">
        <v>24</v>
      </c>
      <c r="H4" s="355"/>
    </row>
    <row r="5" spans="1:9" ht="14.4" thickBot="1" x14ac:dyDescent="0.3">
      <c r="B5" s="346"/>
      <c r="C5" s="347"/>
      <c r="D5" s="347"/>
      <c r="E5" s="93">
        <v>2020</v>
      </c>
      <c r="F5" s="9">
        <v>2021</v>
      </c>
      <c r="G5" s="94">
        <f>E5</f>
        <v>2020</v>
      </c>
      <c r="H5" s="289">
        <f>F5</f>
        <v>2021</v>
      </c>
    </row>
    <row r="6" spans="1:9" ht="28.8" thickBot="1" x14ac:dyDescent="0.3">
      <c r="B6" s="211" t="s">
        <v>123</v>
      </c>
      <c r="C6" s="215"/>
      <c r="D6" s="108" t="s">
        <v>124</v>
      </c>
      <c r="E6" s="95">
        <f>'2. Macro'!L8</f>
        <v>49507.222999999998</v>
      </c>
      <c r="F6" s="95">
        <f>'2. Macro'!M8</f>
        <v>55325.584999999999</v>
      </c>
      <c r="G6" s="111">
        <f>'2. Macro'!L7</f>
        <v>49507.199999999997</v>
      </c>
      <c r="H6" s="111">
        <f>'2. Macro'!M7</f>
        <v>55383.1</v>
      </c>
    </row>
    <row r="7" spans="1:9" s="23" customFormat="1" ht="14.4" thickBot="1" x14ac:dyDescent="0.3">
      <c r="B7" s="329" t="s">
        <v>125</v>
      </c>
      <c r="C7" s="351" t="s">
        <v>126</v>
      </c>
      <c r="D7" s="162" t="s">
        <v>124</v>
      </c>
      <c r="E7" s="95">
        <f>E13-E15</f>
        <v>-3604.7999999999993</v>
      </c>
      <c r="F7" s="95">
        <f>F13-F15</f>
        <v>-554.60000000000218</v>
      </c>
      <c r="G7" s="95">
        <f>G13-G15</f>
        <v>-3604.7999999999993</v>
      </c>
      <c r="H7" s="111">
        <f>H13-H15</f>
        <v>-554.60000000000218</v>
      </c>
    </row>
    <row r="8" spans="1:9" s="23" customFormat="1" ht="14.4" thickBot="1" x14ac:dyDescent="0.3">
      <c r="B8" s="330"/>
      <c r="C8" s="352"/>
      <c r="D8" s="162" t="s">
        <v>127</v>
      </c>
      <c r="E8" s="95">
        <f>E7/$E$6*100</f>
        <v>-7.2813617520013185</v>
      </c>
      <c r="F8" s="95">
        <f>F7/$F$6*100</f>
        <v>-1.0024295269539441</v>
      </c>
      <c r="G8" s="95">
        <f>G7/$G$6*100</f>
        <v>-7.2813651347682748</v>
      </c>
      <c r="H8" s="111">
        <f>H7/$H$6*100</f>
        <v>-1.0013885102134084</v>
      </c>
    </row>
    <row r="9" spans="1:9" s="23" customFormat="1" ht="14.4" thickBot="1" x14ac:dyDescent="0.3">
      <c r="B9" s="356" t="s">
        <v>128</v>
      </c>
      <c r="C9" s="351" t="s">
        <v>129</v>
      </c>
      <c r="D9" s="162" t="s">
        <v>124</v>
      </c>
      <c r="E9" s="99">
        <v>249.06670600000001</v>
      </c>
      <c r="F9" s="99">
        <v>531.13509536000004</v>
      </c>
      <c r="G9" s="95">
        <f>E9</f>
        <v>249.06670600000001</v>
      </c>
      <c r="H9" s="111">
        <f>F9</f>
        <v>531.13509536000004</v>
      </c>
    </row>
    <row r="10" spans="1:9" s="23" customFormat="1" ht="14.4" thickBot="1" x14ac:dyDescent="0.3">
      <c r="B10" s="357"/>
      <c r="C10" s="352"/>
      <c r="D10" s="162" t="s">
        <v>127</v>
      </c>
      <c r="E10" s="95">
        <f>E9/$E$6*100</f>
        <v>0.50309165189895633</v>
      </c>
      <c r="F10" s="95">
        <f>F9/$F$6*100</f>
        <v>0.96001713377273834</v>
      </c>
      <c r="G10" s="95">
        <f>G9/$G$6*100</f>
        <v>0.50309188562471729</v>
      </c>
      <c r="H10" s="111">
        <f>H9/$H$6*100</f>
        <v>0.95902016203498908</v>
      </c>
      <c r="I10" s="40"/>
    </row>
    <row r="11" spans="1:9" s="23" customFormat="1" ht="14.4" thickBot="1" x14ac:dyDescent="0.3">
      <c r="B11" s="356" t="s">
        <v>130</v>
      </c>
      <c r="C11" s="351" t="s">
        <v>131</v>
      </c>
      <c r="D11" s="162" t="s">
        <v>124</v>
      </c>
      <c r="E11" s="99">
        <v>6.4332940000022099</v>
      </c>
      <c r="F11" s="99">
        <v>227.38924156396601</v>
      </c>
      <c r="G11" s="95">
        <f>E11</f>
        <v>6.4332940000022099</v>
      </c>
      <c r="H11" s="111">
        <f>F11</f>
        <v>227.38924156396601</v>
      </c>
      <c r="I11" s="40"/>
    </row>
    <row r="12" spans="1:9" s="23" customFormat="1" ht="14.4" thickBot="1" x14ac:dyDescent="0.3">
      <c r="B12" s="357"/>
      <c r="C12" s="352"/>
      <c r="D12" s="162" t="s">
        <v>127</v>
      </c>
      <c r="E12" s="95">
        <f>E11/$E$6*100</f>
        <v>1.2994657365455966E-2</v>
      </c>
      <c r="F12" s="95">
        <f>F11/$F$6*100</f>
        <v>0.41100196511969284</v>
      </c>
      <c r="G12" s="95">
        <f>G11/$G$6*100</f>
        <v>1.2994663402499454E-2</v>
      </c>
      <c r="H12" s="111">
        <f>H11/$H$6*100</f>
        <v>0.41057514217146751</v>
      </c>
    </row>
    <row r="13" spans="1:9" s="23" customFormat="1" ht="14.4" thickBot="1" x14ac:dyDescent="0.3">
      <c r="B13" s="329" t="s">
        <v>132</v>
      </c>
      <c r="C13" s="331" t="s">
        <v>133</v>
      </c>
      <c r="D13" s="162" t="s">
        <v>124</v>
      </c>
      <c r="E13" s="99">
        <v>17658.2</v>
      </c>
      <c r="F13" s="99">
        <v>20881.8</v>
      </c>
      <c r="G13" s="95">
        <f>E13</f>
        <v>17658.2</v>
      </c>
      <c r="H13" s="111">
        <f>F13</f>
        <v>20881.8</v>
      </c>
    </row>
    <row r="14" spans="1:9" s="23" customFormat="1" ht="14.4" thickBot="1" x14ac:dyDescent="0.3">
      <c r="B14" s="342"/>
      <c r="C14" s="332"/>
      <c r="D14" s="162" t="s">
        <v>127</v>
      </c>
      <c r="E14" s="95">
        <f>E13/$E$6*100</f>
        <v>35.667926678093018</v>
      </c>
      <c r="F14" s="95">
        <f>F13/$F$6*100</f>
        <v>37.743477994855361</v>
      </c>
      <c r="G14" s="95">
        <f>G13/$G$6*100</f>
        <v>35.667943248658787</v>
      </c>
      <c r="H14" s="111">
        <f>H13/$H$6*100</f>
        <v>37.704281631039073</v>
      </c>
    </row>
    <row r="15" spans="1:9" s="23" customFormat="1" ht="14.4" thickBot="1" x14ac:dyDescent="0.3">
      <c r="B15" s="329" t="s">
        <v>134</v>
      </c>
      <c r="C15" s="331" t="s">
        <v>135</v>
      </c>
      <c r="D15" s="162" t="s">
        <v>124</v>
      </c>
      <c r="E15" s="99">
        <v>21263</v>
      </c>
      <c r="F15" s="99">
        <v>21436.400000000001</v>
      </c>
      <c r="G15" s="95">
        <f>E15</f>
        <v>21263</v>
      </c>
      <c r="H15" s="111">
        <f>F15</f>
        <v>21436.400000000001</v>
      </c>
    </row>
    <row r="16" spans="1:9" s="23" customFormat="1" ht="14.4" thickBot="1" x14ac:dyDescent="0.3">
      <c r="B16" s="342"/>
      <c r="C16" s="332"/>
      <c r="D16" s="162" t="s">
        <v>127</v>
      </c>
      <c r="E16" s="95">
        <f>E15/$E$6*100</f>
        <v>42.949288430094335</v>
      </c>
      <c r="F16" s="95">
        <f>F15/$F$6*100</f>
        <v>38.745907521809308</v>
      </c>
      <c r="G16" s="95">
        <f>G15/$G$6*100</f>
        <v>42.949308383427059</v>
      </c>
      <c r="H16" s="111">
        <f>H15/$H$6*100</f>
        <v>38.705670141252483</v>
      </c>
    </row>
    <row r="17" spans="2:8" s="23" customFormat="1" ht="14.4" thickBot="1" x14ac:dyDescent="0.3">
      <c r="B17" s="356" t="s">
        <v>313</v>
      </c>
      <c r="C17" s="331" t="s">
        <v>315</v>
      </c>
      <c r="D17" s="162" t="s">
        <v>124</v>
      </c>
      <c r="E17" s="99">
        <v>10754.434000000001</v>
      </c>
      <c r="F17" s="99">
        <v>11612.634063830001</v>
      </c>
      <c r="G17" s="95">
        <f>E17</f>
        <v>10754.434000000001</v>
      </c>
      <c r="H17" s="111">
        <f>F17</f>
        <v>11612.634063830001</v>
      </c>
    </row>
    <row r="18" spans="2:8" s="23" customFormat="1" ht="14.4" thickBot="1" x14ac:dyDescent="0.3">
      <c r="B18" s="357"/>
      <c r="C18" s="332"/>
      <c r="D18" s="162" t="s">
        <v>127</v>
      </c>
      <c r="E18" s="95">
        <f>E17/$E$6*100</f>
        <v>21.722959496233514</v>
      </c>
      <c r="F18" s="95">
        <f>F17/$F$6*100</f>
        <v>20.989627247194946</v>
      </c>
      <c r="G18" s="95">
        <f>G17/$G$6*100</f>
        <v>21.722969588261911</v>
      </c>
      <c r="H18" s="111">
        <f>H17/$H$6*100</f>
        <v>20.967829651698803</v>
      </c>
    </row>
    <row r="19" spans="2:8" s="23" customFormat="1" ht="14.4" thickBot="1" x14ac:dyDescent="0.3">
      <c r="B19" s="356" t="s">
        <v>314</v>
      </c>
      <c r="C19" s="331" t="s">
        <v>136</v>
      </c>
      <c r="D19" s="162" t="s">
        <v>124</v>
      </c>
      <c r="E19" s="99">
        <v>6920.4650570168005</v>
      </c>
      <c r="F19" s="99">
        <v>7437.2516822100006</v>
      </c>
      <c r="G19" s="95">
        <f>E19</f>
        <v>6920.4650570168005</v>
      </c>
      <c r="H19" s="111">
        <f>F19</f>
        <v>7437.2516822100006</v>
      </c>
    </row>
    <row r="20" spans="2:8" s="23" customFormat="1" ht="14.4" thickBot="1" x14ac:dyDescent="0.3">
      <c r="B20" s="358"/>
      <c r="C20" s="332"/>
      <c r="D20" s="162" t="s">
        <v>127</v>
      </c>
      <c r="E20" s="95">
        <f>E19/$E$6*100</f>
        <v>13.978697728646184</v>
      </c>
      <c r="F20" s="95">
        <f>F19/$F$6*100</f>
        <v>13.442698675865788</v>
      </c>
      <c r="G20" s="95">
        <f>G19/$G$6*100</f>
        <v>13.978704222854052</v>
      </c>
      <c r="H20" s="111">
        <f>H19/$H$6*100</f>
        <v>13.428738518085845</v>
      </c>
    </row>
    <row r="21" spans="2:8" s="23" customFormat="1" ht="14.4" thickBot="1" x14ac:dyDescent="0.3">
      <c r="B21" s="329" t="s">
        <v>137</v>
      </c>
      <c r="C21" s="351" t="s">
        <v>318</v>
      </c>
      <c r="D21" s="162" t="s">
        <v>124</v>
      </c>
      <c r="E21" s="95">
        <f>E19+E17</f>
        <v>17674.899057016803</v>
      </c>
      <c r="F21" s="95">
        <f>F17+F19</f>
        <v>19049.885746040003</v>
      </c>
      <c r="G21" s="95">
        <f>G19+G17</f>
        <v>17674.899057016803</v>
      </c>
      <c r="H21" s="111">
        <f>H17+H19</f>
        <v>19049.885746040003</v>
      </c>
    </row>
    <row r="22" spans="2:8" s="23" customFormat="1" ht="16.5" customHeight="1" thickBot="1" x14ac:dyDescent="0.3">
      <c r="B22" s="330"/>
      <c r="C22" s="352"/>
      <c r="D22" s="162" t="s">
        <v>127</v>
      </c>
      <c r="E22" s="95">
        <f>E21/$E$6*100</f>
        <v>35.701657224879696</v>
      </c>
      <c r="F22" s="95">
        <f>F21/$F$6*100</f>
        <v>34.432325923060738</v>
      </c>
      <c r="G22" s="95">
        <f>G21/$G$6*100</f>
        <v>35.701673811115967</v>
      </c>
      <c r="H22" s="111">
        <f>H21/$H$6*100</f>
        <v>34.396568169784651</v>
      </c>
    </row>
    <row r="23" spans="2:8" s="23" customFormat="1" ht="14.4" thickBot="1" x14ac:dyDescent="0.3">
      <c r="B23" s="329" t="s">
        <v>138</v>
      </c>
      <c r="C23" s="331" t="s">
        <v>139</v>
      </c>
      <c r="D23" s="162" t="s">
        <v>124</v>
      </c>
      <c r="E23" s="100">
        <v>2.2999999999999998</v>
      </c>
      <c r="F23" s="100">
        <v>-7.3</v>
      </c>
      <c r="G23" s="100">
        <f>E23</f>
        <v>2.2999999999999998</v>
      </c>
      <c r="H23" s="100">
        <v>-7.3</v>
      </c>
    </row>
    <row r="24" spans="2:8" ht="14.4" thickBot="1" x14ac:dyDescent="0.3">
      <c r="B24" s="342"/>
      <c r="C24" s="332"/>
      <c r="D24" s="162" t="s">
        <v>127</v>
      </c>
      <c r="E24" s="95">
        <f>E23/$E$6*100</f>
        <v>4.6457867370181521E-3</v>
      </c>
      <c r="F24" s="95">
        <f>F23/$F$6*100</f>
        <v>-1.3194618728387598E-2</v>
      </c>
      <c r="G24" s="95">
        <f>G23/$G$6*100</f>
        <v>4.6457888953525947E-3</v>
      </c>
      <c r="H24" s="111">
        <f>H23/$H$6*100</f>
        <v>-1.3180916200068253E-2</v>
      </c>
    </row>
    <row r="25" spans="2:8" ht="14.4" thickBot="1" x14ac:dyDescent="0.3">
      <c r="B25" s="329" t="s">
        <v>140</v>
      </c>
      <c r="C25" s="331" t="s">
        <v>141</v>
      </c>
      <c r="D25" s="162" t="s">
        <v>124</v>
      </c>
      <c r="E25" s="100">
        <v>0</v>
      </c>
      <c r="F25" s="100">
        <v>0</v>
      </c>
      <c r="G25" s="100">
        <v>0</v>
      </c>
      <c r="H25" s="100">
        <v>0</v>
      </c>
    </row>
    <row r="26" spans="2:8" ht="14.4" thickBot="1" x14ac:dyDescent="0.3">
      <c r="B26" s="342"/>
      <c r="C26" s="332"/>
      <c r="D26" s="162" t="s">
        <v>127</v>
      </c>
      <c r="E26" s="95">
        <f>E25/$E$6*100</f>
        <v>0</v>
      </c>
      <c r="F26" s="95">
        <f>F25/$F$6*100</f>
        <v>0</v>
      </c>
      <c r="G26" s="95">
        <f>G25/$G$6*100</f>
        <v>0</v>
      </c>
      <c r="H26" s="111">
        <f>H25/$H$6*100</f>
        <v>0</v>
      </c>
    </row>
    <row r="27" spans="2:8" ht="14.4" thickBot="1" x14ac:dyDescent="0.3">
      <c r="B27" s="329" t="s">
        <v>142</v>
      </c>
      <c r="C27" s="331" t="s">
        <v>143</v>
      </c>
      <c r="D27" s="162" t="s">
        <v>124</v>
      </c>
      <c r="E27" s="100">
        <v>0</v>
      </c>
      <c r="F27" s="100">
        <v>0</v>
      </c>
      <c r="G27" s="100">
        <v>0</v>
      </c>
      <c r="H27" s="100">
        <v>0</v>
      </c>
    </row>
    <row r="28" spans="2:8" ht="14.4" thickBot="1" x14ac:dyDescent="0.3">
      <c r="B28" s="342"/>
      <c r="C28" s="332"/>
      <c r="D28" s="162" t="s">
        <v>127</v>
      </c>
      <c r="E28" s="95">
        <f>E27/$E$6*100</f>
        <v>0</v>
      </c>
      <c r="F28" s="95">
        <f>F27/$F$6*100</f>
        <v>0</v>
      </c>
      <c r="G28" s="95">
        <f>G27/$G$6*100</f>
        <v>0</v>
      </c>
      <c r="H28" s="111">
        <f>H27/$H$6*100</f>
        <v>0</v>
      </c>
    </row>
    <row r="29" spans="2:8" ht="28.8" thickBot="1" x14ac:dyDescent="0.3">
      <c r="B29" s="213" t="s">
        <v>144</v>
      </c>
      <c r="C29" s="162" t="s">
        <v>145</v>
      </c>
      <c r="D29" s="162" t="s">
        <v>127</v>
      </c>
      <c r="E29" s="41">
        <v>0.5</v>
      </c>
      <c r="F29" s="39">
        <v>0</v>
      </c>
      <c r="G29" s="39">
        <f>E29</f>
        <v>0.5</v>
      </c>
      <c r="H29" s="39">
        <f>F29</f>
        <v>0</v>
      </c>
    </row>
    <row r="30" spans="2:8" ht="33" customHeight="1" thickBot="1" x14ac:dyDescent="0.3">
      <c r="B30" s="213" t="s">
        <v>146</v>
      </c>
      <c r="C30" s="162" t="s">
        <v>147</v>
      </c>
      <c r="D30" s="162" t="s">
        <v>127</v>
      </c>
      <c r="E30" s="100">
        <f>E8-'2. Macro'!L22-E24+E29</f>
        <v>-6.5808312963620246</v>
      </c>
      <c r="F30" s="100">
        <f>F8-'2. Macro'!M22-F24+F29</f>
        <v>-1.1636836478653507</v>
      </c>
      <c r="G30" s="100">
        <f>G8-'2. Macro'!L21-G24+G29</f>
        <v>-6.9960388973805676</v>
      </c>
      <c r="H30" s="100">
        <f>H8-'2. Macro'!M21-H24+H29</f>
        <v>-1.8598652717072626</v>
      </c>
    </row>
    <row r="31" spans="2:8" ht="28.8" thickBot="1" x14ac:dyDescent="0.3">
      <c r="B31" s="213" t="s">
        <v>148</v>
      </c>
      <c r="C31" s="162" t="s">
        <v>149</v>
      </c>
      <c r="D31" s="162" t="s">
        <v>127</v>
      </c>
      <c r="E31" s="19">
        <f>E10-'2. Macro'!L24-E26</f>
        <v>0.5483435549794462</v>
      </c>
      <c r="F31" s="19">
        <f>F10-'2. Macro'!M24-F26</f>
        <v>0.92154222377699424</v>
      </c>
      <c r="G31" s="19">
        <f>G10-'2. Macro'!L23-G26</f>
        <v>0.45676992650920173</v>
      </c>
      <c r="H31" s="19">
        <f>H10-'2. Macro'!M23-H26</f>
        <v>0.76677485968645487</v>
      </c>
    </row>
    <row r="32" spans="2:8" ht="28.8" thickBot="1" x14ac:dyDescent="0.3">
      <c r="B32" s="213" t="s">
        <v>150</v>
      </c>
      <c r="C32" s="162" t="s">
        <v>151</v>
      </c>
      <c r="D32" s="162" t="s">
        <v>127</v>
      </c>
      <c r="E32" s="19">
        <f>E12-'2. Macro'!L26-E28</f>
        <v>3.4592156562962495E-2</v>
      </c>
      <c r="F32" s="19">
        <f>F12-'2. Macro'!M26-F28</f>
        <v>0.39263893989445137</v>
      </c>
      <c r="G32" s="39">
        <f>G12-'2. Macro'!L25-G28</f>
        <v>-9.1135443571784269E-3</v>
      </c>
      <c r="H32" s="39">
        <f>H12-'2. Macro'!M25-H28</f>
        <v>0.31882170241421254</v>
      </c>
    </row>
    <row r="33" spans="2:13" ht="28.8" thickBot="1" x14ac:dyDescent="0.3">
      <c r="B33" s="213" t="s">
        <v>152</v>
      </c>
      <c r="C33" s="214" t="s">
        <v>153</v>
      </c>
      <c r="D33" s="162" t="s">
        <v>127</v>
      </c>
      <c r="E33" s="112">
        <v>-1</v>
      </c>
      <c r="F33" s="112">
        <v>-1</v>
      </c>
      <c r="G33" s="112">
        <v>-1</v>
      </c>
      <c r="H33" s="214">
        <v>-1</v>
      </c>
    </row>
    <row r="34" spans="2:13" ht="28.8" thickBot="1" x14ac:dyDescent="0.3">
      <c r="B34" s="213" t="s">
        <v>154</v>
      </c>
      <c r="C34" s="214" t="s">
        <v>155</v>
      </c>
      <c r="D34" s="162" t="s">
        <v>127</v>
      </c>
      <c r="E34" s="112">
        <v>0</v>
      </c>
      <c r="F34" s="112">
        <v>0</v>
      </c>
      <c r="G34" s="112">
        <v>0</v>
      </c>
      <c r="H34" s="214">
        <v>0</v>
      </c>
    </row>
    <row r="35" spans="2:13" x14ac:dyDescent="0.25">
      <c r="C35" s="42"/>
      <c r="D35" s="42"/>
      <c r="E35" s="42"/>
      <c r="F35" s="42"/>
      <c r="G35" s="42"/>
      <c r="H35" s="42"/>
    </row>
    <row r="36" spans="2:13" ht="15" thickBot="1" x14ac:dyDescent="0.35">
      <c r="C36" s="10" t="s">
        <v>50</v>
      </c>
      <c r="D36" s="10"/>
      <c r="E36" s="197" t="s">
        <v>51</v>
      </c>
      <c r="F36" s="97"/>
      <c r="G36" s="97"/>
      <c r="H36" s="97"/>
    </row>
    <row r="37" spans="2:13" ht="15" thickBot="1" x14ac:dyDescent="0.35">
      <c r="B37" s="43"/>
      <c r="C37" s="44" t="s">
        <v>156</v>
      </c>
      <c r="D37" s="31"/>
      <c r="E37" s="198" t="s">
        <v>157</v>
      </c>
      <c r="F37" s="96"/>
      <c r="G37" s="96"/>
    </row>
    <row r="38" spans="2:13" ht="15" customHeight="1" thickBot="1" x14ac:dyDescent="0.35">
      <c r="B38" s="45"/>
      <c r="C38" s="10" t="s">
        <v>114</v>
      </c>
      <c r="D38" s="32"/>
      <c r="E38" s="348" t="s">
        <v>115</v>
      </c>
      <c r="F38" s="340"/>
      <c r="G38" s="340"/>
      <c r="H38" s="340"/>
      <c r="I38" s="340"/>
      <c r="J38" s="340"/>
      <c r="K38" s="340"/>
      <c r="L38" s="340"/>
      <c r="M38" s="340"/>
    </row>
    <row r="39" spans="2:13" ht="15" thickBot="1" x14ac:dyDescent="0.35">
      <c r="C39" s="10"/>
      <c r="E39" s="134"/>
    </row>
    <row r="40" spans="2:13" ht="14.4" thickBot="1" x14ac:dyDescent="0.3">
      <c r="C40" s="33" t="s">
        <v>117</v>
      </c>
      <c r="D40" s="34"/>
      <c r="E40" s="199" t="s">
        <v>118</v>
      </c>
      <c r="F40" s="98"/>
      <c r="G40" s="98"/>
    </row>
    <row r="41" spans="2:13" ht="14.4" customHeight="1" x14ac:dyDescent="0.25">
      <c r="C41" s="353"/>
      <c r="D41" s="353"/>
      <c r="E41" s="24"/>
      <c r="F41" s="24"/>
      <c r="G41" s="24"/>
      <c r="H41" s="24"/>
    </row>
    <row r="42" spans="2:13" x14ac:dyDescent="0.25">
      <c r="C42" s="353"/>
      <c r="D42" s="353"/>
      <c r="E42" s="24"/>
      <c r="F42" s="24"/>
      <c r="G42" s="24"/>
      <c r="H42" s="24"/>
    </row>
  </sheetData>
  <mergeCells count="31">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B3:C3"/>
    <mergeCell ref="B4:B5"/>
    <mergeCell ref="C4:C5"/>
    <mergeCell ref="D4:D5"/>
    <mergeCell ref="E38:M38"/>
    <mergeCell ref="E4:F4"/>
    <mergeCell ref="C27:C28"/>
    <mergeCell ref="B15:B16"/>
    <mergeCell ref="C15:C16"/>
    <mergeCell ref="B23:B24"/>
    <mergeCell ref="C23:C24"/>
    <mergeCell ref="B25:B26"/>
    <mergeCell ref="C25:C26"/>
    <mergeCell ref="B21:B22"/>
    <mergeCell ref="C21:C22"/>
    <mergeCell ref="B27:B28"/>
  </mergeCells>
  <hyperlinks>
    <hyperlink ref="B1" location="Content!A1" display="↖ atgal į turinį" xr:uid="{8D49A034-0168-4894-B604-40CFF3F7B0DE}"/>
  </hyperlinks>
  <pageMargins left="0.7" right="0.7" top="0.75" bottom="0.75" header="0.3" footer="0.3"/>
  <pageSetup orientation="portrait" r:id="rId1"/>
  <ignoredErrors>
    <ignoredError sqref="G23"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rgb="FF47ABD9"/>
  </sheetPr>
  <dimension ref="A1:L45"/>
  <sheetViews>
    <sheetView showGridLines="0" showRowColHeaders="0" zoomScaleNormal="100" workbookViewId="0"/>
  </sheetViews>
  <sheetFormatPr defaultColWidth="10" defaultRowHeight="13.8" x14ac:dyDescent="0.25"/>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x14ac:dyDescent="0.25">
      <c r="A1" s="2"/>
      <c r="B1" s="373" t="s">
        <v>19</v>
      </c>
      <c r="C1" s="373"/>
      <c r="D1" s="2"/>
    </row>
    <row r="2" spans="1:12" ht="14.4" thickBot="1" x14ac:dyDescent="0.3">
      <c r="A2" s="12" t="s">
        <v>20</v>
      </c>
    </row>
    <row r="3" spans="1:12" ht="34.5" customHeight="1" thickTop="1" thickBot="1" x14ac:dyDescent="0.3">
      <c r="A3" s="13"/>
      <c r="B3" s="312" t="s">
        <v>323</v>
      </c>
      <c r="C3" s="374"/>
      <c r="D3" s="374"/>
      <c r="E3" s="374"/>
      <c r="F3" s="375"/>
    </row>
    <row r="4" spans="1:12" ht="41.25" customHeight="1" thickBot="1" x14ac:dyDescent="0.3">
      <c r="B4" s="105" t="s">
        <v>158</v>
      </c>
      <c r="C4" s="133" t="s">
        <v>159</v>
      </c>
      <c r="D4" s="133" t="s">
        <v>160</v>
      </c>
      <c r="E4" s="376" t="s">
        <v>161</v>
      </c>
      <c r="F4" s="377"/>
      <c r="J4" s="146"/>
      <c r="K4" s="146"/>
      <c r="L4" s="146"/>
    </row>
    <row r="5" spans="1:12" ht="33" customHeight="1" thickBot="1" x14ac:dyDescent="0.3">
      <c r="B5" s="378" t="s">
        <v>321</v>
      </c>
      <c r="C5" s="379"/>
      <c r="D5" s="380"/>
      <c r="E5" s="129" t="s">
        <v>23</v>
      </c>
      <c r="F5" s="130" t="s">
        <v>24</v>
      </c>
      <c r="J5" s="146"/>
      <c r="K5" s="146"/>
      <c r="L5" s="146"/>
    </row>
    <row r="6" spans="1:12" ht="14.25" customHeight="1" x14ac:dyDescent="0.25">
      <c r="B6" s="381"/>
      <c r="C6" s="147" t="s">
        <v>162</v>
      </c>
      <c r="D6" s="394"/>
      <c r="E6" s="386" t="str">
        <f>"Taip"</f>
        <v>Taip</v>
      </c>
      <c r="F6" s="387"/>
    </row>
    <row r="7" spans="1:12" ht="14.25" customHeight="1" thickBot="1" x14ac:dyDescent="0.35">
      <c r="B7" s="382"/>
      <c r="C7" s="148" t="s">
        <v>29</v>
      </c>
      <c r="D7" s="395"/>
      <c r="E7" s="392" t="str">
        <f>"Yes"</f>
        <v>Yes</v>
      </c>
      <c r="F7" s="393"/>
    </row>
    <row r="8" spans="1:12" ht="18" customHeight="1" x14ac:dyDescent="0.25">
      <c r="B8" s="359" t="s">
        <v>163</v>
      </c>
      <c r="C8" s="368" t="s">
        <v>164</v>
      </c>
      <c r="D8" s="345" t="s">
        <v>165</v>
      </c>
      <c r="E8" s="154" t="str">
        <f>IF(E28&gt;eps,"Tiesa","Netiesa")</f>
        <v>Netiesa</v>
      </c>
      <c r="F8" s="47" t="str">
        <f>IF(F28&gt;eps,"Tiesa","Netiesa")</f>
        <v>Netiesa</v>
      </c>
    </row>
    <row r="9" spans="1:12" ht="15.75" customHeight="1" x14ac:dyDescent="0.25">
      <c r="B9" s="360"/>
      <c r="C9" s="369"/>
      <c r="D9" s="370"/>
      <c r="E9" s="144" t="str">
        <f>CONCATENATE(FIXED(E28,1),IF(E28="Tiesa"," ≥ "," &lt; "),FIXED(0,1))</f>
        <v>-1,2 &lt; 0,0</v>
      </c>
      <c r="F9" s="145" t="str">
        <f>CONCATENATE(FIXED(F28,1),IF(F28="Tiesa"," ≥ "," &lt; "),FIXED(0,1))</f>
        <v>-1,9 &lt; 0,0</v>
      </c>
      <c r="H9" s="48"/>
    </row>
    <row r="10" spans="1:12" ht="15" thickBot="1" x14ac:dyDescent="0.3">
      <c r="B10" s="367"/>
      <c r="C10" s="149" t="s">
        <v>166</v>
      </c>
      <c r="D10" s="347"/>
      <c r="E10" s="135" t="str">
        <f>IF(E8="Tiesa","True","False")</f>
        <v>False</v>
      </c>
      <c r="F10" s="127" t="str">
        <f>IF(F8="Tiesa","True","False")</f>
        <v>False</v>
      </c>
      <c r="H10" s="48"/>
    </row>
    <row r="11" spans="1:12" ht="30" customHeight="1" x14ac:dyDescent="0.25">
      <c r="B11" s="359" t="s">
        <v>167</v>
      </c>
      <c r="C11" s="368" t="s">
        <v>168</v>
      </c>
      <c r="D11" s="345" t="s">
        <v>169</v>
      </c>
      <c r="E11" s="154" t="str">
        <f>IF((ABS(E28)+eps&lt;ABS($E$30))*(ABS(E28)&lt;ABS(E29))*(E31&gt;=-eps),"Tiesa","Netiesa")</f>
        <v>Netiesa</v>
      </c>
      <c r="F11" s="47" t="str">
        <f>IF((ABS(F28)+eps&lt;ABS($E$30))*(ABS(F28)&lt;ABS(F29))*(F31&gt;=-eps),"Tiesa","Netiesa")</f>
        <v>Netiesa</v>
      </c>
      <c r="I11" s="25"/>
    </row>
    <row r="12" spans="1:12" ht="43.5" customHeight="1" x14ac:dyDescent="0.25">
      <c r="B12" s="360"/>
      <c r="C12" s="369"/>
      <c r="D12" s="370"/>
      <c r="E12" s="90" t="str">
        <f>CONCATENATE(FIXED(ABS(E28),1),IF(ABS(E28)+eps&lt;ABS($E$30)," &lt; "," ≥ "),FIXED(ABS($E$30),1)," &amp;
",FIXED(ABS(E28),1),IF(ABS(E28)&lt;ABS(E29)," &lt; "," ≥ "),FIXED(ABS(E29),1)," &amp;
",FIXED(E31,1),IF(E31&lt;-eps," &lt; "," ≥ "),FIXED(0,1))</f>
        <v>1,2 ≥ 1,0 &amp;
1,2 &lt; 6,6 &amp;
0,4 ≥ 0,0</v>
      </c>
      <c r="F12" s="143" t="str">
        <f>CONCATENATE(FIXED(ABS(F28),1),IF(ABS(F28)+eps&lt;ABS($E$30)," &lt; "," ≥ "),FIXED(ABS($E$30),1)," &amp;
",FIXED(ABS(F28),1),IF(ABS(F28)&lt;ABS(F29)," &lt; "," ≥ "),FIXED(ABS(F29),1)," &amp;
",FIXED(F31,1),IF(F31&lt;-eps," &lt; "," ≥ "),FIXED(0,1))</f>
        <v>1,9 ≥ 1,0 &amp;
1,9 &lt; 7,0 &amp;
2,2 ≥ 0,0</v>
      </c>
      <c r="G12" s="49"/>
      <c r="H12" s="50"/>
      <c r="I12" s="25"/>
      <c r="J12" s="25"/>
    </row>
    <row r="13" spans="1:12" ht="64.5" customHeight="1" thickBot="1" x14ac:dyDescent="0.3">
      <c r="B13" s="367"/>
      <c r="C13" s="149" t="s">
        <v>170</v>
      </c>
      <c r="D13" s="347"/>
      <c r="E13" s="92" t="str">
        <f>IF(E11="Tiesa","True","False")</f>
        <v>False</v>
      </c>
      <c r="F13" s="136" t="str">
        <f>IF(F11="Tiesa","True","False")</f>
        <v>False</v>
      </c>
      <c r="G13" s="49"/>
      <c r="H13" s="50"/>
      <c r="I13" s="25"/>
      <c r="J13" s="25"/>
    </row>
    <row r="14" spans="1:12" ht="30" customHeight="1" x14ac:dyDescent="0.25">
      <c r="B14" s="359" t="s">
        <v>171</v>
      </c>
      <c r="C14" s="368" t="s">
        <v>172</v>
      </c>
      <c r="D14" s="345" t="s">
        <v>173</v>
      </c>
      <c r="E14" s="154" t="str">
        <f>IF((ABS(E28)+eps&lt;ABS($E$30))*(E31&lt;-eps),"Tiesa","Netiesa")</f>
        <v>Netiesa</v>
      </c>
      <c r="F14" s="47" t="str">
        <f>IF((ABS(F28)+eps&lt;ABS($E$30))*(F31&lt;-eps),"Tiesa","Netiesa")</f>
        <v>Netiesa</v>
      </c>
      <c r="I14" s="25"/>
      <c r="J14" s="25"/>
    </row>
    <row r="15" spans="1:12" ht="33" customHeight="1" x14ac:dyDescent="0.25">
      <c r="B15" s="360"/>
      <c r="C15" s="369"/>
      <c r="D15" s="370"/>
      <c r="E15" s="90" t="str">
        <f>CONCATENATE(FIXED(ABS(E28),1),IF(ABS(E28)+eps&lt;ABS($E$30)," &lt; "," ≥ "),FIXED(ABS($E$30),1)," &amp;
",FIXED(E31,1),IF(E31&lt;-eps," &lt; "," ≥ "),FIXED(0,1))</f>
        <v>1,2 ≥ 1,0 &amp;
0,4 ≥ 0,0</v>
      </c>
      <c r="F15" s="143" t="str">
        <f>CONCATENATE(FIXED(ABS(F28),1),IF(ABS(F28)+eps&lt;ABS($E$30)," &lt; "," ≥ "),FIXED(ABS($E$30),1)," &amp;
",FIXED(F31,1),IF(F31&lt;-eps," &lt; "," ≥ "),FIXED(0,1))</f>
        <v>1,9 ≥ 1,0 &amp;
2,2 ≥ 0,0</v>
      </c>
    </row>
    <row r="16" spans="1:12" ht="51.6" customHeight="1" thickBot="1" x14ac:dyDescent="0.3">
      <c r="B16" s="367"/>
      <c r="C16" s="149" t="s">
        <v>174</v>
      </c>
      <c r="D16" s="347"/>
      <c r="E16" s="92" t="str">
        <f>IF(E14="Tiesa","True","False")</f>
        <v>False</v>
      </c>
      <c r="F16" s="126" t="str">
        <f>IF(F14="Tiesa","True","False")</f>
        <v>False</v>
      </c>
    </row>
    <row r="17" spans="2:6" ht="34.5" customHeight="1" x14ac:dyDescent="0.25">
      <c r="B17" s="359" t="s">
        <v>175</v>
      </c>
      <c r="C17" s="362" t="s">
        <v>176</v>
      </c>
      <c r="D17" s="364" t="s">
        <v>177</v>
      </c>
      <c r="E17" s="154" t="str">
        <f>IF(($E$32&gt;0),IF((E28&gt;=E29+$E$32),"Tiesa","Netiesa"),"Netaikoma")</f>
        <v>Netaikoma</v>
      </c>
      <c r="F17" s="156" t="str">
        <f>IF(($E$32&gt;0),IF((E28&gt;=E29+$E$32),"Tiesa","Netiesa"),"Netaikoma")</f>
        <v>Netaikoma</v>
      </c>
    </row>
    <row r="18" spans="2:6" ht="15.75" customHeight="1" x14ac:dyDescent="0.25">
      <c r="B18" s="360"/>
      <c r="C18" s="363"/>
      <c r="D18" s="365"/>
      <c r="E18" s="155" t="str">
        <f>IF($E$32=0,"",CONCATENATE(FIXED(E28,1),IF(E28&gt;=E29+$E$32," ≥ "," &lt; "),FIXED(E29,1)," + ",FIXED($E$32,1)," = ",FIXED(E29+$E$32,1)))</f>
        <v/>
      </c>
      <c r="F18" s="143" t="str">
        <f>IF($E$32=0,"",CONCATENATE(FIXED(F28,1),IF(F28&gt;=F29+$E$32," ≥ "," &lt; "),FIXED(F29,1)," + ",FIXED($E$32,1)," = ",FIXED(F29+$E$32,1)))</f>
        <v/>
      </c>
    </row>
    <row r="19" spans="2:6" ht="47.25" customHeight="1" thickBot="1" x14ac:dyDescent="0.3">
      <c r="B19" s="367"/>
      <c r="C19" s="150" t="s">
        <v>178</v>
      </c>
      <c r="D19" s="366"/>
      <c r="E19" s="92" t="str">
        <f>IF(E17="Tiesa","True",IF(E17="Netaikoma","Not applicable","False"))</f>
        <v>Not applicable</v>
      </c>
      <c r="F19" s="126" t="str">
        <f>IF(F17="Tiesa","True",IF(F17="Netaikoma","Not applicable","False"))</f>
        <v>Not applicable</v>
      </c>
    </row>
    <row r="20" spans="2:6" x14ac:dyDescent="0.25">
      <c r="B20" s="359" t="s">
        <v>179</v>
      </c>
      <c r="C20" s="389" t="s">
        <v>180</v>
      </c>
      <c r="D20" s="364"/>
      <c r="E20" s="51" t="str">
        <f>IF(E6="Taip","Netaikoma", IF(OR(E8="Tiesa",E11="Tiesa",E14="Tiesa",E17="Tiesa"),"Taip","Ne"))</f>
        <v>Netaikoma</v>
      </c>
      <c r="F20" s="52" t="str">
        <f>IF(E6="Taip","Netaikoma", IF(OR(F8="Tiesa",F11="Tiesa",F14="Tiesa",F17="Tiesa"),"Taip","Ne"))</f>
        <v>Netaikoma</v>
      </c>
    </row>
    <row r="21" spans="2:6" ht="43.95" customHeight="1" x14ac:dyDescent="0.25">
      <c r="B21" s="360"/>
      <c r="C21" s="390"/>
      <c r="D21" s="365"/>
      <c r="E21" s="139"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02"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2:6" ht="21" customHeight="1" x14ac:dyDescent="0.25">
      <c r="B22" s="360"/>
      <c r="C22" s="371" t="s">
        <v>181</v>
      </c>
      <c r="D22" s="365"/>
      <c r="E22" s="140" t="str">
        <f>IF(E20="Taip","Yes",IF(E20="Netaikoma","Not applicable","False"))</f>
        <v>Not applicable</v>
      </c>
      <c r="F22" s="103" t="str">
        <f>IF(F20="Taip","Yes",IF(F20="Netaikoma","Not applicable","False"))</f>
        <v>Not applicable</v>
      </c>
    </row>
    <row r="23" spans="2:6" ht="28.5" customHeight="1" thickBot="1" x14ac:dyDescent="0.3">
      <c r="B23" s="361"/>
      <c r="C23" s="372"/>
      <c r="D23" s="391"/>
      <c r="E23" s="141"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42"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2:6" ht="15.75" customHeight="1" thickTop="1" x14ac:dyDescent="0.25">
      <c r="C24" s="383" t="s">
        <v>182</v>
      </c>
      <c r="D24" s="383"/>
      <c r="E24" s="383"/>
      <c r="F24" s="383"/>
    </row>
    <row r="25" spans="2:6" ht="15.75" customHeight="1" x14ac:dyDescent="0.25">
      <c r="C25" s="396" t="s">
        <v>183</v>
      </c>
      <c r="D25" s="396"/>
      <c r="E25" s="396"/>
      <c r="F25" s="396"/>
    </row>
    <row r="26" spans="2:6" ht="14.4" thickBot="1" x14ac:dyDescent="0.3">
      <c r="C26" s="54" t="s">
        <v>184</v>
      </c>
      <c r="D26" s="54"/>
      <c r="E26" s="13"/>
      <c r="F26" s="13"/>
    </row>
    <row r="27" spans="2:6" ht="14.4" thickBot="1" x14ac:dyDescent="0.3">
      <c r="C27" s="107" t="s">
        <v>185</v>
      </c>
      <c r="D27" s="55" t="s">
        <v>186</v>
      </c>
      <c r="E27" s="384">
        <v>2021</v>
      </c>
      <c r="F27" s="384"/>
    </row>
    <row r="28" spans="2:6" ht="14.4" thickBot="1" x14ac:dyDescent="0.3">
      <c r="D28" s="55" t="s">
        <v>187</v>
      </c>
      <c r="E28" s="57">
        <f>'3. GGbudget'!F30</f>
        <v>-1.1636836478653507</v>
      </c>
      <c r="F28" s="58">
        <f>'3. GGbudget'!H30</f>
        <v>-1.8598652717072626</v>
      </c>
    </row>
    <row r="29" spans="2:6" ht="14.4" thickBot="1" x14ac:dyDescent="0.3">
      <c r="D29" s="55" t="s">
        <v>188</v>
      </c>
      <c r="E29" s="57">
        <f>'3. GGbudget'!E30</f>
        <v>-6.5808312963620246</v>
      </c>
      <c r="F29" s="58">
        <f>'3. GGbudget'!G30</f>
        <v>-6.9960388973805676</v>
      </c>
    </row>
    <row r="30" spans="2:6" ht="14.4" thickBot="1" x14ac:dyDescent="0.3">
      <c r="D30" s="55" t="s">
        <v>189</v>
      </c>
      <c r="E30" s="385">
        <f>'3. GGbudget'!F33</f>
        <v>-1</v>
      </c>
      <c r="F30" s="385"/>
    </row>
    <row r="31" spans="2:6" ht="14.4" thickBot="1" x14ac:dyDescent="0.3">
      <c r="D31" s="55" t="s">
        <v>190</v>
      </c>
      <c r="E31" s="57">
        <f>'2. Macro'!M20</f>
        <v>0.43721488631527361</v>
      </c>
      <c r="F31" s="57">
        <f>'2. Macro'!M19</f>
        <v>2.1846057085060711</v>
      </c>
    </row>
    <row r="32" spans="2:6" ht="14.4" thickBot="1" x14ac:dyDescent="0.3">
      <c r="D32" s="55" t="s">
        <v>191</v>
      </c>
      <c r="E32" s="388">
        <f>'3. GGbudget'!F34</f>
        <v>0</v>
      </c>
      <c r="F32" s="388"/>
    </row>
    <row r="33" spans="3:9" ht="15" thickBot="1" x14ac:dyDescent="0.35">
      <c r="D33" s="10" t="s">
        <v>50</v>
      </c>
      <c r="G33" s="210" t="s">
        <v>51</v>
      </c>
    </row>
    <row r="34" spans="3:9" ht="15" thickBot="1" x14ac:dyDescent="0.35">
      <c r="C34" s="10"/>
      <c r="D34" s="10" t="s">
        <v>52</v>
      </c>
      <c r="E34" s="300" t="s">
        <v>23</v>
      </c>
      <c r="F34" s="301"/>
      <c r="G34" s="210" t="s">
        <v>53</v>
      </c>
    </row>
    <row r="35" spans="3:9" ht="15" thickBot="1" x14ac:dyDescent="0.35">
      <c r="C35" s="10"/>
      <c r="D35" s="10" t="s">
        <v>54</v>
      </c>
      <c r="E35" s="302" t="s">
        <v>24</v>
      </c>
      <c r="F35" s="303"/>
      <c r="G35" s="237" t="s">
        <v>55</v>
      </c>
    </row>
    <row r="36" spans="3:9" s="12" customFormat="1" ht="14.4" x14ac:dyDescent="0.3">
      <c r="C36" s="59" t="s">
        <v>192</v>
      </c>
      <c r="D36" s="60" t="s">
        <v>193</v>
      </c>
      <c r="E36" s="137">
        <f>J13*1</f>
        <v>0</v>
      </c>
      <c r="F36" s="61"/>
    </row>
    <row r="37" spans="3:9" s="12" customFormat="1" ht="14.4" x14ac:dyDescent="0.3">
      <c r="C37" s="59" t="s">
        <v>194</v>
      </c>
      <c r="D37" s="60" t="s">
        <v>195</v>
      </c>
      <c r="E37" s="137">
        <f>J15*1</f>
        <v>0</v>
      </c>
      <c r="F37" s="61"/>
    </row>
    <row r="38" spans="3:9" s="12" customFormat="1" ht="14.4" x14ac:dyDescent="0.3">
      <c r="C38" s="59" t="s">
        <v>196</v>
      </c>
      <c r="D38" s="60" t="s">
        <v>197</v>
      </c>
      <c r="E38" s="137">
        <f>J17*1</f>
        <v>0</v>
      </c>
      <c r="F38" s="61"/>
      <c r="G38" s="62"/>
    </row>
    <row r="39" spans="3:9" s="12" customFormat="1" ht="14.4" x14ac:dyDescent="0.3">
      <c r="C39" s="59" t="s">
        <v>198</v>
      </c>
      <c r="D39" s="60" t="s">
        <v>199</v>
      </c>
      <c r="E39" s="137">
        <f>J19*1</f>
        <v>0</v>
      </c>
      <c r="F39" s="61"/>
      <c r="G39" s="62"/>
    </row>
    <row r="40" spans="3:9" s="12" customFormat="1" ht="14.4" x14ac:dyDescent="0.3">
      <c r="E40" s="137">
        <f>SUM(E36:E39)</f>
        <v>0</v>
      </c>
      <c r="F40" s="61"/>
    </row>
    <row r="41" spans="3:9" ht="14.4" x14ac:dyDescent="0.3">
      <c r="C41" s="23"/>
      <c r="D41" s="23"/>
      <c r="E41" s="138"/>
      <c r="F41" s="23"/>
      <c r="G41" s="12"/>
      <c r="H41" s="12"/>
      <c r="I41" s="12"/>
    </row>
    <row r="42" spans="3:9" x14ac:dyDescent="0.25">
      <c r="C42" s="23"/>
      <c r="D42" s="23"/>
      <c r="E42" s="23"/>
      <c r="F42" s="23"/>
      <c r="G42" s="12"/>
      <c r="H42" s="12"/>
      <c r="I42" s="12"/>
    </row>
    <row r="43" spans="3:9" x14ac:dyDescent="0.25">
      <c r="C43" s="25"/>
      <c r="D43" s="23"/>
      <c r="E43" s="23"/>
      <c r="F43" s="23"/>
    </row>
    <row r="44" spans="3:9" x14ac:dyDescent="0.25">
      <c r="C44" s="25"/>
      <c r="D44" s="23"/>
      <c r="E44" s="23"/>
      <c r="F44" s="23"/>
    </row>
    <row r="45" spans="3:9" x14ac:dyDescent="0.25">
      <c r="C45" s="25"/>
      <c r="D45" s="25"/>
      <c r="E45" s="25"/>
      <c r="F45" s="25"/>
    </row>
  </sheetData>
  <mergeCells count="31">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 ref="B11:B13"/>
    <mergeCell ref="B1:C1"/>
    <mergeCell ref="B3:F3"/>
    <mergeCell ref="E4:F4"/>
    <mergeCell ref="C8:C9"/>
    <mergeCell ref="D8:D10"/>
    <mergeCell ref="B8:B10"/>
    <mergeCell ref="B5:D5"/>
    <mergeCell ref="B6:B7"/>
    <mergeCell ref="B20:B23"/>
    <mergeCell ref="C17:C18"/>
    <mergeCell ref="D17:D19"/>
    <mergeCell ref="B17:B19"/>
    <mergeCell ref="C14:C15"/>
    <mergeCell ref="D14:D16"/>
    <mergeCell ref="B14:B16"/>
    <mergeCell ref="C22:C23"/>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rgb="FF47ABD9"/>
  </sheetPr>
  <dimension ref="A1:J76"/>
  <sheetViews>
    <sheetView showGridLines="0" showRowColHeaders="0" zoomScaleNormal="100" workbookViewId="0"/>
  </sheetViews>
  <sheetFormatPr defaultColWidth="10" defaultRowHeight="13.8" x14ac:dyDescent="0.25"/>
  <cols>
    <col min="1" max="1" width="3.6640625" style="1" customWidth="1"/>
    <col min="2" max="2" width="5.5546875" style="109" customWidth="1"/>
    <col min="3" max="3" width="100.6640625" style="1" customWidth="1"/>
    <col min="4" max="4" width="14.5546875" style="1" customWidth="1"/>
    <col min="5" max="5" width="21.44140625" style="1" customWidth="1"/>
    <col min="6" max="7" width="17" style="1" customWidth="1"/>
    <col min="8" max="8" width="9.88671875" style="1" customWidth="1"/>
    <col min="9" max="9" width="10" style="1" customWidth="1"/>
    <col min="10" max="16384" width="10" style="1"/>
  </cols>
  <sheetData>
    <row r="1" spans="1:10" x14ac:dyDescent="0.25">
      <c r="A1" s="2"/>
      <c r="B1" s="373" t="s">
        <v>19</v>
      </c>
      <c r="C1" s="373"/>
    </row>
    <row r="2" spans="1:10" ht="14.4" thickBot="1" x14ac:dyDescent="0.3">
      <c r="A2" s="12" t="s">
        <v>20</v>
      </c>
    </row>
    <row r="3" spans="1:10" ht="39.75" customHeight="1" thickTop="1" thickBot="1" x14ac:dyDescent="0.3">
      <c r="B3" s="312" t="s">
        <v>324</v>
      </c>
      <c r="C3" s="374"/>
      <c r="D3" s="374"/>
      <c r="E3" s="374"/>
      <c r="F3" s="374"/>
      <c r="G3" s="375"/>
    </row>
    <row r="4" spans="1:10" ht="30" customHeight="1" thickBot="1" x14ac:dyDescent="0.3">
      <c r="B4" s="105" t="s">
        <v>200</v>
      </c>
      <c r="C4" s="106" t="s">
        <v>201</v>
      </c>
      <c r="D4" s="410" t="s">
        <v>160</v>
      </c>
      <c r="E4" s="411"/>
      <c r="F4" s="412" t="s">
        <v>161</v>
      </c>
      <c r="G4" s="413"/>
      <c r="H4" s="227"/>
    </row>
    <row r="5" spans="1:10" ht="33.75" customHeight="1" thickBot="1" x14ac:dyDescent="0.3">
      <c r="B5" s="378" t="s">
        <v>321</v>
      </c>
      <c r="C5" s="379"/>
      <c r="D5" s="379"/>
      <c r="E5" s="380"/>
      <c r="F5" s="129" t="s">
        <v>23</v>
      </c>
      <c r="G5" s="130" t="s">
        <v>24</v>
      </c>
      <c r="H5" s="5"/>
      <c r="I5" s="5"/>
      <c r="J5" s="5"/>
    </row>
    <row r="6" spans="1:10" ht="30" customHeight="1" x14ac:dyDescent="0.25">
      <c r="B6" s="420" t="s">
        <v>202</v>
      </c>
      <c r="C6" s="368" t="s">
        <v>203</v>
      </c>
      <c r="D6" s="414"/>
      <c r="E6" s="415"/>
      <c r="F6" s="101" t="str">
        <f>IF(F58+eps&lt;AVERAGE('2. Macro'!G33:K33)+2,"Tiesa","Netiesa")</f>
        <v>Tiesa</v>
      </c>
      <c r="G6" s="64" t="str">
        <f>IF(F58+eps&lt;AVERAGE('2. Macro'!G33:K33)+2,"Tiesa","Netiesa")</f>
        <v>Tiesa</v>
      </c>
      <c r="H6" s="5"/>
      <c r="I6" s="5"/>
      <c r="J6" s="5"/>
    </row>
    <row r="7" spans="1:10" ht="19.5" customHeight="1" x14ac:dyDescent="0.25">
      <c r="B7" s="421"/>
      <c r="C7" s="369"/>
      <c r="D7" s="416"/>
      <c r="E7" s="417"/>
      <c r="F7" s="101" t="str">
        <f>CONCATENATE(FIXED(F58,1),IF(F6="Tiesa"," &lt; "," ≥ "),FIXED(AVERAGE('2. Macro'!H33:L33)+2,1))</f>
        <v>1,2 &lt; 3,9</v>
      </c>
      <c r="G7" s="123" t="str">
        <f>CONCATENATE(FIXED(G58,1),IF(G6="Tiesa"," &lt; "," ≥ "),FIXED(AVERAGE('2. Macro'!H33:L33)+2,1))</f>
        <v>1,2 &lt; 3,9</v>
      </c>
      <c r="H7" s="5"/>
      <c r="I7" s="5"/>
      <c r="J7" s="5"/>
    </row>
    <row r="8" spans="1:10" ht="34.5" customHeight="1" thickBot="1" x14ac:dyDescent="0.3">
      <c r="B8" s="422"/>
      <c r="C8" s="149" t="s">
        <v>204</v>
      </c>
      <c r="D8" s="418"/>
      <c r="E8" s="419"/>
      <c r="F8" s="151" t="str">
        <f>IF(F6="Tiesa","True","False")</f>
        <v>True</v>
      </c>
      <c r="G8" s="116" t="str">
        <f>IF(G6="Tiesa","True","False")</f>
        <v>True</v>
      </c>
      <c r="H8" s="5"/>
      <c r="I8" s="5"/>
      <c r="J8" s="5"/>
    </row>
    <row r="9" spans="1:10" ht="30" customHeight="1" thickBot="1" x14ac:dyDescent="0.3">
      <c r="B9" s="423" t="s">
        <v>205</v>
      </c>
      <c r="C9" s="425" t="s">
        <v>206</v>
      </c>
      <c r="D9" s="335" t="s">
        <v>292</v>
      </c>
      <c r="E9" s="335"/>
      <c r="F9" s="63" t="str">
        <f>IF('3. GGbudget'!F8&gt;='3. GGbudget'!E8+1,"Tiesa","Netiesa")</f>
        <v>Tiesa</v>
      </c>
      <c r="G9" s="64" t="str">
        <f>IF('3. GGbudget'!H8&gt;='3. GGbudget'!G8+1,"Tiesa","Netiesa")</f>
        <v>Tiesa</v>
      </c>
    </row>
    <row r="10" spans="1:10" ht="15" customHeight="1" thickBot="1" x14ac:dyDescent="0.3">
      <c r="B10" s="423"/>
      <c r="C10" s="426"/>
      <c r="D10" s="335"/>
      <c r="E10" s="335"/>
      <c r="F10" s="101" t="str">
        <f>CONCATENATE(FIXED('3. GGbudget'!F8-'3. GGbudget'!E8,1),IF(F9="Tiesa"," ≥ "," &lt; "),FIXED(1,1))</f>
        <v>6,3 ≥ 1,0</v>
      </c>
      <c r="G10" s="123" t="str">
        <f>CONCATENATE(FIXED('3. GGbudget'!H8-'3. GGbudget'!G8,1),IF(G9="Tiesa"," ≥ "," &lt; "),FIXED(1,1))</f>
        <v>6,3 ≥ 1,0</v>
      </c>
    </row>
    <row r="11" spans="1:10" ht="30" customHeight="1" thickBot="1" x14ac:dyDescent="0.3">
      <c r="B11" s="423"/>
      <c r="C11" s="190" t="s">
        <v>207</v>
      </c>
      <c r="D11" s="335"/>
      <c r="E11" s="335"/>
      <c r="F11" s="135" t="str">
        <f>IF(F9="Tiesa","True","False")</f>
        <v>True</v>
      </c>
      <c r="G11" s="116" t="str">
        <f>IF(G9="Tiesa","True","False")</f>
        <v>True</v>
      </c>
    </row>
    <row r="12" spans="1:10" ht="14.4" thickBot="1" x14ac:dyDescent="0.3">
      <c r="B12" s="423" t="s">
        <v>297</v>
      </c>
      <c r="C12" s="442" t="s">
        <v>298</v>
      </c>
      <c r="D12" s="444" t="s">
        <v>295</v>
      </c>
      <c r="E12" s="445"/>
      <c r="F12" s="267" t="str">
        <f>IF(('3. GGbudget'!F8&gt;='3. GGbudget'!E8+1)*(F55&gt;=F56+0.5),"Tiesa","Netiesa")</f>
        <v>Netiesa</v>
      </c>
      <c r="G12" s="268" t="str">
        <f>IF(('3. GGbudget'!F8&gt;='3. GGbudget'!E8+1)*(F55&gt;=F56+0.5),"Tiesa","Netiesa")</f>
        <v>Netiesa</v>
      </c>
    </row>
    <row r="13" spans="1:10" ht="27" thickBot="1" x14ac:dyDescent="0.3">
      <c r="B13" s="423"/>
      <c r="C13" s="443"/>
      <c r="D13" s="446"/>
      <c r="E13" s="447"/>
      <c r="F13" s="269" t="str">
        <f>CONCATENATE(FIXED('3. GGbudget'!F8-'3. GGbudget'!E8,1),IF(F12="Tiesa"," ≥ "," &lt; "),FIXED(1,1)," &amp;
 ",FIXED(F55,1),IF(F55&gt;=F56+0.5," ≥ "," &lt; "),FIXED(F56,1),"+",FIXED(0.5,1))</f>
        <v>6,3 &lt; 1,0 &amp;
 1,0 &lt; 1,0+0,5</v>
      </c>
      <c r="G13" s="270" t="str">
        <f>CONCATENATE(FIXED('3. GGbudget'!G8-'3. GGbudget'!F8,1),IF(G12="Tiesa"," ≥ "," &lt; "),FIXED(1,1)," &amp;
 ",FIXED(G55,1),IF(G55&gt;=G56+0.5," ≥ "," &lt; "),FIXED(G56,1),"+",FIXED(0.5,1))</f>
        <v>-6,3 &lt; 1,0 &amp;
 0,0 &lt; 0,0+0,5</v>
      </c>
    </row>
    <row r="14" spans="1:10" ht="27" thickBot="1" x14ac:dyDescent="0.3">
      <c r="B14" s="423"/>
      <c r="C14" s="271" t="s">
        <v>296</v>
      </c>
      <c r="D14" s="448"/>
      <c r="E14" s="449"/>
      <c r="F14" s="272" t="str">
        <f>IF(F12="Tiesa","True","False")</f>
        <v>False</v>
      </c>
      <c r="G14" s="273" t="str">
        <f>IF(G12="Tiesa","True","False")</f>
        <v>False</v>
      </c>
    </row>
    <row r="15" spans="1:10" ht="27.75" customHeight="1" thickBot="1" x14ac:dyDescent="0.3">
      <c r="B15" s="423" t="s">
        <v>208</v>
      </c>
      <c r="C15" s="425" t="s">
        <v>209</v>
      </c>
      <c r="D15" s="424"/>
      <c r="E15" s="424"/>
      <c r="F15" s="65" t="str">
        <f>IF(ROUND(AVERAGE('2. Macro'!H37:L37),1)&gt;=0.1,"Tiesa","Netiesa")</f>
        <v>Netiesa</v>
      </c>
      <c r="G15" s="66" t="str">
        <f>IF(ROUND(AVERAGE('2. Macro'!H36:L36),1)&gt;=0.1,"Tiesa","Netiesa")</f>
        <v>Netiesa</v>
      </c>
    </row>
    <row r="16" spans="1:10" ht="20.25" customHeight="1" thickBot="1" x14ac:dyDescent="0.3">
      <c r="B16" s="423"/>
      <c r="C16" s="426"/>
      <c r="D16" s="424"/>
      <c r="E16" s="424"/>
      <c r="F16" s="131" t="str">
        <f>CONCATENATE(FIXED(AVERAGE('2. Macro'!H37:L37),1),IF(F15="Tiesa"," ≥ "," &lt; "),FIXED(0.1,1))</f>
        <v>-1,1 &lt; 0,1</v>
      </c>
      <c r="G16" s="132" t="str">
        <f>CONCATENATE(FIXED(AVERAGE('2. Macro'!H37:L37),1),IF(G15="Tiesa"," ≥ "," &lt; "),FIXED(0.1,1))</f>
        <v>-1,1 &lt; 0,1</v>
      </c>
    </row>
    <row r="17" spans="2:8" ht="29.4" thickBot="1" x14ac:dyDescent="0.3">
      <c r="B17" s="423"/>
      <c r="C17" s="190" t="s">
        <v>210</v>
      </c>
      <c r="D17" s="424"/>
      <c r="E17" s="424"/>
      <c r="F17" s="152" t="str">
        <f>IF(F15="Tiesa","True","False")</f>
        <v>False</v>
      </c>
      <c r="G17" s="153" t="str">
        <f>IF(G15="Tiesa","True","False")</f>
        <v>False</v>
      </c>
    </row>
    <row r="18" spans="2:8" ht="51.75" customHeight="1" x14ac:dyDescent="0.25">
      <c r="B18" s="420" t="s">
        <v>211</v>
      </c>
      <c r="C18" s="217" t="s">
        <v>212</v>
      </c>
      <c r="D18" s="414" t="s">
        <v>213</v>
      </c>
      <c r="E18" s="415"/>
      <c r="F18" s="154" t="s">
        <v>214</v>
      </c>
      <c r="G18" s="156" t="str">
        <f>F18</f>
        <v>Netaikoma</v>
      </c>
    </row>
    <row r="19" spans="2:8" ht="51.75" customHeight="1" thickBot="1" x14ac:dyDescent="0.3">
      <c r="B19" s="422"/>
      <c r="C19" s="149" t="s">
        <v>215</v>
      </c>
      <c r="D19" s="418"/>
      <c r="E19" s="419"/>
      <c r="F19" s="92" t="s">
        <v>216</v>
      </c>
      <c r="G19" s="126" t="str">
        <f>F19</f>
        <v>Not applied</v>
      </c>
    </row>
    <row r="20" spans="2:8" ht="44.25" customHeight="1" x14ac:dyDescent="0.25">
      <c r="B20" s="420" t="s">
        <v>217</v>
      </c>
      <c r="C20" s="425" t="s">
        <v>218</v>
      </c>
      <c r="D20" s="414" t="s">
        <v>219</v>
      </c>
      <c r="E20" s="415"/>
      <c r="F20" s="63" t="str">
        <f>IF(F59+eps&lt;0,"Tiesa","Netiesa")</f>
        <v>Netiesa</v>
      </c>
      <c r="G20" s="64" t="str">
        <f>IF(G59+eps&lt;0,"Tiesa","Netiesa")</f>
        <v>Netiesa</v>
      </c>
    </row>
    <row r="21" spans="2:8" ht="20.25" customHeight="1" x14ac:dyDescent="0.25">
      <c r="B21" s="421"/>
      <c r="C21" s="426"/>
      <c r="D21" s="416"/>
      <c r="E21" s="417"/>
      <c r="F21" s="131" t="str">
        <f>CONCATENATE(FIXED(F59,1),IF(F20="Tiesa"," &lt; "," ≥ "),FIXED(0,1))</f>
        <v>0,4 ≥ 0,0</v>
      </c>
      <c r="G21" s="123" t="str">
        <f>CONCATENATE(FIXED(G59,1),IF(G20="Tiesa"," &lt; "," ≥ "),FIXED(0,1))</f>
        <v>2,2 ≥ 0,0</v>
      </c>
    </row>
    <row r="22" spans="2:8" ht="48" customHeight="1" thickBot="1" x14ac:dyDescent="0.3">
      <c r="B22" s="422"/>
      <c r="C22" s="149" t="s">
        <v>220</v>
      </c>
      <c r="D22" s="418"/>
      <c r="E22" s="419"/>
      <c r="F22" s="135" t="str">
        <f>IF(F20="Tiesa","True","False")</f>
        <v>False</v>
      </c>
      <c r="G22" s="116" t="str">
        <f>IF(G20="Tiesa","True","False")</f>
        <v>False</v>
      </c>
    </row>
    <row r="23" spans="2:8" ht="26.4" x14ac:dyDescent="0.25">
      <c r="B23" s="420" t="s">
        <v>299</v>
      </c>
      <c r="C23" s="274" t="s">
        <v>300</v>
      </c>
      <c r="D23" s="444" t="s">
        <v>301</v>
      </c>
      <c r="E23" s="445"/>
      <c r="F23" s="267" t="str">
        <f>IF((F61+eps&lt;0)*($F$63&lt;=3),"Tiesa","Netiesa")</f>
        <v>Netiesa</v>
      </c>
      <c r="G23" s="268" t="str">
        <f>IF((G61+eps&lt;0)*($F$63&lt;=3),"Tiesa","Netiesa")</f>
        <v>Netiesa</v>
      </c>
    </row>
    <row r="24" spans="2:8" ht="26.4" x14ac:dyDescent="0.25">
      <c r="B24" s="421"/>
      <c r="C24" s="275"/>
      <c r="D24" s="446"/>
      <c r="E24" s="447"/>
      <c r="F24" s="276" t="str">
        <f>CONCATENATE(ROUND(F59,1),IF(F59&lt;0," &lt; "," ≥ "),FIXED(0,1), " &amp;
", FIXED($F$60,1),IF($F$60&gt;3," &gt; "," ≤ "), FIXED(3,1))</f>
        <v>0,4 ≥ 0,0 &amp;
4,6 &gt; 3,0</v>
      </c>
      <c r="G24" s="270" t="str">
        <f>CONCATENATE(ROUND(G59,1),IF(G59&lt;0," &lt; "," ≥ "),FIXED(0,1), " &amp;
", FIXED($F$60,1),IF($F$60&gt;3," &gt; "," ≤ "), FIXED(3,1))</f>
        <v>2,2 ≥ 0,0 &amp;
4,6 &gt; 3,0</v>
      </c>
      <c r="H24" s="26"/>
    </row>
    <row r="25" spans="2:8" ht="14.4" thickBot="1" x14ac:dyDescent="0.3">
      <c r="B25" s="422"/>
      <c r="C25" s="275" t="s">
        <v>302</v>
      </c>
      <c r="D25" s="448"/>
      <c r="E25" s="449"/>
      <c r="F25" s="272" t="str">
        <f>IF(F23="Tiesa","True","False")</f>
        <v>False</v>
      </c>
      <c r="G25" s="273" t="str">
        <f>IF(G23="Tiesa","True","False")</f>
        <v>False</v>
      </c>
    </row>
    <row r="26" spans="2:8" ht="21.75" customHeight="1" x14ac:dyDescent="0.25">
      <c r="B26" s="359" t="s">
        <v>221</v>
      </c>
      <c r="C26" s="389" t="s">
        <v>222</v>
      </c>
      <c r="D26" s="431"/>
      <c r="E26" s="432"/>
      <c r="F26" s="51" t="str">
        <f>+IF((OR(F6="Tiesa",F9="Tiesa",F15="Tiesa",F20="Tiesa")),"Taip","Ne")</f>
        <v>Taip</v>
      </c>
      <c r="G26" s="52" t="str">
        <f>+IF((OR(G6="Tiesa",G9="Tiesa",G15="Tiesa",G20="Tiesa")),"Taip","Ne")</f>
        <v>Taip</v>
      </c>
      <c r="H26" s="67"/>
    </row>
    <row r="27" spans="2:8" ht="39" customHeight="1" x14ac:dyDescent="0.25">
      <c r="B27" s="360"/>
      <c r="C27" s="390"/>
      <c r="D27" s="433"/>
      <c r="E27" s="434"/>
      <c r="F27" s="139" t="str">
        <f>IF(F26="Taip",CONCATENATE("Susidaro ", IF(F70=1,CONCATENATE(H70," "),""),IF(F71=1,CONCATENATE(H71," "),""),IF(F72=1,CONCATENATE(H72," "),""),IF(F73=1,CONCATENATE(H73," "),""),IF(F74=1,CONCATENATE(H74," "),""),IF(F75=1,"aplinkybė","aplinkybės")),"Išimčių nėra")</f>
        <v>Susidaro A1 A2 aplinkybės</v>
      </c>
      <c r="G27" s="102" t="str">
        <f>IF(G26="Taip",CONCATENATE("Susidaro ", IF(G70=1,CONCATENATE(I70," "),""),IF(G71=1,CONCATENATE(I71," "),""),IF(G72=1,CONCATENATE(I72," "),""),IF(G73=1,CONCATENATE(I73," "),""),IF(G74=1,CONCATENATE(I74," "),""),IF(G75=1,"aplinkybė","aplinkybės")),"Išimčių nėra")</f>
        <v>Susidaro A1 A2 aplinkybės</v>
      </c>
    </row>
    <row r="28" spans="2:8" ht="15" customHeight="1" x14ac:dyDescent="0.25">
      <c r="B28" s="360"/>
      <c r="C28" s="371" t="s">
        <v>223</v>
      </c>
      <c r="D28" s="433"/>
      <c r="E28" s="434"/>
      <c r="F28" s="163" t="str">
        <f>IF(F26="Taip","Yes","No")</f>
        <v>Yes</v>
      </c>
      <c r="G28" s="164" t="str">
        <f>IF(G26="Taip","Yes","No")</f>
        <v>Yes</v>
      </c>
    </row>
    <row r="29" spans="2:8" ht="45" customHeight="1" thickBot="1" x14ac:dyDescent="0.3">
      <c r="B29" s="367"/>
      <c r="C29" s="437"/>
      <c r="D29" s="435"/>
      <c r="E29" s="436"/>
      <c r="F29" s="124" t="str">
        <f>IF(F28="Yes",CONCATENATE(IF(F75=1,"Escape clause ","Escape clauses "), IF(F70=1,CONCATENATE(H70," "),""),IF(F71=1,CONCATENATE(H71," "),""),IF(F72=1,CONCATENATE(H72," "),""),IF(F73=1,CONCATENATE(H73," "),""),IF(F74=1,CONCATENATE(H74," "),""),"emerge"),"No escape clauses emerge")</f>
        <v>Escape clauses A1 A2 emerge</v>
      </c>
      <c r="G29" s="103" t="str">
        <f>IF(G28="Yes",CONCATENATE(IF(G75=1,"Escape clause ","Escape clauses "), IF(G70=1,CONCATENATE(I70," "),""),IF(G71=1,CONCATENATE(I71," "),""),IF(G72=1,CONCATENATE(I72," "),""),IF(G73=1,CONCATENATE(I73," "),""),IF(G74=1,CONCATENATE(I74," "),""),"emerge"),"No escape clauses emerge")</f>
        <v>Escape clauses A1 A2 emerge</v>
      </c>
    </row>
    <row r="30" spans="2:8" ht="33.75" customHeight="1" thickBot="1" x14ac:dyDescent="0.35">
      <c r="B30" s="128" t="s">
        <v>200</v>
      </c>
      <c r="C30" s="222" t="s">
        <v>224</v>
      </c>
      <c r="D30" s="429" t="s">
        <v>225</v>
      </c>
      <c r="E30" s="430"/>
      <c r="F30" s="427" t="s">
        <v>161</v>
      </c>
      <c r="G30" s="428"/>
      <c r="H30" s="70"/>
    </row>
    <row r="31" spans="2:8" ht="17.399999999999999" customHeight="1" x14ac:dyDescent="0.25">
      <c r="B31" s="359" t="s">
        <v>226</v>
      </c>
      <c r="C31" s="425" t="s">
        <v>316</v>
      </c>
      <c r="D31" s="182"/>
      <c r="E31" s="183"/>
      <c r="F31" s="68" t="str">
        <f>IF((F26="Taip"),"",IF(AVERAGE('2. Macro'!H37:L37)+eps&lt;0,"Tiesa","Netiesa"))</f>
        <v/>
      </c>
      <c r="G31" s="69" t="str">
        <f>IF((F26="Taip"),"",IF(AVERAGE('2. Macro'!H36:L36)+eps&lt;0,"Tiesa","Netiesa"))</f>
        <v/>
      </c>
    </row>
    <row r="32" spans="2:8" ht="15.75" customHeight="1" x14ac:dyDescent="0.25">
      <c r="B32" s="360"/>
      <c r="C32" s="426"/>
      <c r="D32" s="184" t="s">
        <v>227</v>
      </c>
      <c r="E32" s="185"/>
      <c r="F32" s="155" t="str">
        <f>IF((F26="Taip"),"",CONCATENATE(FIXED(AVERAGE('2. Macro'!H37:L37),1),IF(F31="Tiesa"," &lt; "," ≥ "),FIXED(0,1)))</f>
        <v/>
      </c>
      <c r="G32" s="161" t="str">
        <f>IF((G26="Taip"),"",CONCATENATE(FIXED(AVERAGE('2. Macro'!H36:L36),1),IF(G31="Tiesa"," &lt; "," ≥ "),FIXED(0,1)))</f>
        <v/>
      </c>
    </row>
    <row r="33" spans="2:8" ht="18" customHeight="1" thickBot="1" x14ac:dyDescent="0.3">
      <c r="B33" s="360"/>
      <c r="C33" s="426"/>
      <c r="D33" s="186"/>
      <c r="E33" s="187"/>
      <c r="F33" s="181" t="str">
        <f>IF(F28="Yes","",IF(F31="Tiesa","True","False"))</f>
        <v/>
      </c>
      <c r="G33" s="127" t="str">
        <f>IF(G28="Yes","",IF(G31="Tiesa","True","False"))</f>
        <v/>
      </c>
    </row>
    <row r="34" spans="2:8" ht="24" customHeight="1" x14ac:dyDescent="0.25">
      <c r="B34" s="360"/>
      <c r="C34" s="426"/>
      <c r="D34" s="188"/>
      <c r="E34" s="185"/>
      <c r="F34" s="201" t="str">
        <f>IF(OR(F26="Taip",F31="Netiesa"),"Netaikoma", IF(F46-$F$48&lt;=(F47-$F$49)*(1+0.5*F64),"Tiesa","Netiesa"))</f>
        <v>Netaikoma</v>
      </c>
      <c r="G34" s="161" t="str">
        <f>IF(OR(G26="Taip",G31="Netiesa"),"Netaikoma", IF(G46-$F$48&lt;=(G47-$F$49)*(1+0.5*G64),"Tiesa","Netiesa"))</f>
        <v>Netaikoma</v>
      </c>
    </row>
    <row r="35" spans="2:8" ht="69" customHeight="1" x14ac:dyDescent="0.25">
      <c r="B35" s="360"/>
      <c r="C35" s="426"/>
      <c r="D35" s="188"/>
      <c r="E35" s="185"/>
      <c r="F35" s="155" t="str">
        <f>IF(F26="Taip",IF(F75=1,"Susidarė viena iš KĮ numatytų netaikymo aplinkybių","Susidarė KĮ numatytos netaikymo aplinkybės"),CONCATENATE(ROUND(($G$46-F48)/($G$47-F49),3),IF(F34="Tiesa"," ≤ "," &gt; "), ROUND(1+0.5*F64,3)))</f>
        <v>Susidarė KĮ numatytos netaikymo aplinkybės</v>
      </c>
      <c r="G35" s="200" t="str">
        <f>IF(G26="Taip",IF(G75=1,"Susidarė viena iš KĮ numatytų netaikymo aplinkybių","Susidarė KĮ numatytos netaikymo aplinkybės"),CONCATENATE(ROUND(($G$46-G48)/($G$47-G49),3),IF(G34="Tiesa"," ≤ "," &gt; "), ROUND(1+0.5*G64,3)))</f>
        <v>Susidarė KĮ numatytos netaikymo aplinkybės</v>
      </c>
    </row>
    <row r="36" spans="2:8" ht="21" customHeight="1" x14ac:dyDescent="0.25">
      <c r="B36" s="360"/>
      <c r="C36" s="438" t="s">
        <v>317</v>
      </c>
      <c r="D36" s="188"/>
      <c r="E36" s="185"/>
      <c r="F36" s="157" t="str">
        <f>IF(F34="Netaikoma","Not applied",IF(F34="Tiesa","True","False"))</f>
        <v>Not applied</v>
      </c>
      <c r="G36" s="180" t="str">
        <f>IF(G34="Netaikoma","Not applied",IF(G34="Tiesa","True","False"))</f>
        <v>Not applied</v>
      </c>
    </row>
    <row r="37" spans="2:8" ht="70.5" customHeight="1" thickBot="1" x14ac:dyDescent="0.3">
      <c r="B37" s="367"/>
      <c r="C37" s="439"/>
      <c r="D37" s="186"/>
      <c r="E37" s="187"/>
      <c r="F37" s="189" t="str">
        <f>IF(F28="Yes",IF(F75=1,"CL escape clause emerged","CL escape clauses emerged"),"")</f>
        <v>CL escape clauses emerged</v>
      </c>
      <c r="G37" s="285" t="str">
        <f>IF(G28="Yes",IF(G75=1,"CL escape clause emerged","CL escape clauses emerged"),"")</f>
        <v>CL escape clauses emerged</v>
      </c>
    </row>
    <row r="38" spans="2:8" x14ac:dyDescent="0.25">
      <c r="B38" s="359" t="s">
        <v>303</v>
      </c>
      <c r="C38" s="440" t="s">
        <v>304</v>
      </c>
      <c r="D38" s="277"/>
      <c r="E38" s="278"/>
      <c r="F38" s="279" t="str">
        <f>+IF(OR(F6="Tiesa",F15="Tiesa",F18="Tiesa",F20="Tiesa",F12="Tiesa",F23="Tiesa"),"Netaikoma","FDĮ netaikymo aplinkybės nesusidaro")</f>
        <v>Netaikoma</v>
      </c>
      <c r="G38" s="200" t="str">
        <f>+IF(OR(G6="Tiesa",G15="Tiesa",G18="Tiesa",G20="Tiesa",G12="Tiesa",G23="Tiesa"),"Netaikoma","FDĮ netaikymo aplinkybės nesusidaro")</f>
        <v>Netaikoma</v>
      </c>
    </row>
    <row r="39" spans="2:8" ht="42" customHeight="1" x14ac:dyDescent="0.25">
      <c r="B39" s="360"/>
      <c r="C39" s="441"/>
      <c r="D39" s="277"/>
      <c r="E39" s="278"/>
      <c r="F39" s="279" t="str">
        <f>+IF(OR(F6="Tiesa",F15="Tiesa",F18="Tiesa",F20="Tiesa",F12="Tiesa",F23="Tiesa"),"Susidarė FDĮ netaikymo aplinkybės","FDĮ netaikymo aplinkybės nesusidaro")</f>
        <v>Susidarė FDĮ netaikymo aplinkybės</v>
      </c>
      <c r="G39" s="280" t="str">
        <f>+IF(OR(G6="Tiesa",G15="Tiesa",G18="Tiesa",G20="Tiesa",G12="Tiesa",G23="Tiesa"),"Susidarė FDĮ netaikymo aplinkybės","FDĮ netaikymo aplinkybės nesusidaro")</f>
        <v>Susidarė FDĮ netaikymo aplinkybės</v>
      </c>
    </row>
    <row r="40" spans="2:8" ht="15" customHeight="1" x14ac:dyDescent="0.25">
      <c r="B40" s="360"/>
      <c r="C40" s="281" t="s">
        <v>305</v>
      </c>
      <c r="D40" s="277"/>
      <c r="E40" s="278"/>
      <c r="F40" s="282" t="str">
        <f>IF(F38="Netaikoma","Not applied",IF(F34="Tiesa","True","False"))</f>
        <v>Not applied</v>
      </c>
      <c r="G40" s="283" t="str">
        <f>IF(G38="Netaikoma","Not applied",IF(G34="Tiesa","True","False"))</f>
        <v>Not applied</v>
      </c>
    </row>
    <row r="41" spans="2:8" ht="31.5" customHeight="1" thickBot="1" x14ac:dyDescent="0.3">
      <c r="B41" s="361"/>
      <c r="C41" s="281"/>
      <c r="D41" s="277"/>
      <c r="E41" s="278"/>
      <c r="F41" s="284" t="str">
        <f>IF(F38="FDĮ netaikymo aplinkybės nesusidaro", "No FDL escape clauses emerge","FDL escape clauses emerged")</f>
        <v>FDL escape clauses emerged</v>
      </c>
      <c r="G41" s="283" t="str">
        <f>IF(G38="FDĮ netaikymo aplinkybės nesusidaro", "No FDL escape clauses emerge","FDL escape clauses emerged")</f>
        <v>FDL escape clauses emerged</v>
      </c>
    </row>
    <row r="42" spans="2:8" ht="25.5" customHeight="1" thickTop="1" x14ac:dyDescent="0.25">
      <c r="C42" s="409" t="s">
        <v>228</v>
      </c>
      <c r="D42" s="409"/>
      <c r="E42" s="409"/>
      <c r="F42" s="114"/>
      <c r="G42" s="114"/>
    </row>
    <row r="43" spans="2:8" ht="31.5" customHeight="1" x14ac:dyDescent="0.25">
      <c r="C43" s="396" t="s">
        <v>229</v>
      </c>
      <c r="D43" s="396"/>
      <c r="E43" s="396"/>
      <c r="F43" s="228"/>
      <c r="G43" s="228"/>
    </row>
    <row r="44" spans="2:8" ht="18.75" customHeight="1" thickBot="1" x14ac:dyDescent="0.3">
      <c r="C44" s="54" t="s">
        <v>306</v>
      </c>
      <c r="D44" s="229"/>
      <c r="E44" s="229"/>
      <c r="F44" s="228"/>
      <c r="G44" s="228"/>
    </row>
    <row r="45" spans="2:8" ht="15" customHeight="1" thickBot="1" x14ac:dyDescent="0.3">
      <c r="C45" s="107" t="s">
        <v>307</v>
      </c>
      <c r="D45" s="115"/>
      <c r="E45" s="97"/>
      <c r="F45" s="384">
        <v>2021</v>
      </c>
      <c r="G45" s="384"/>
    </row>
    <row r="46" spans="2:8" ht="14.4" thickBot="1" x14ac:dyDescent="0.3">
      <c r="C46" s="107"/>
      <c r="D46" s="113"/>
      <c r="E46" s="55" t="s">
        <v>230</v>
      </c>
      <c r="F46" s="71">
        <f>'3. GGbudget'!F21</f>
        <v>19049.885746040003</v>
      </c>
      <c r="G46" s="72">
        <f>'3. GGbudget'!H21</f>
        <v>19049.885746040003</v>
      </c>
    </row>
    <row r="47" spans="2:8" ht="15" customHeight="1" thickBot="1" x14ac:dyDescent="0.3">
      <c r="C47" s="113"/>
      <c r="D47" s="113"/>
      <c r="E47" s="55" t="s">
        <v>231</v>
      </c>
      <c r="F47" s="71">
        <f>'3. GGbudget'!E21</f>
        <v>17674.899057016803</v>
      </c>
      <c r="G47" s="72">
        <f>'3. GGbudget'!G21</f>
        <v>17674.899057016803</v>
      </c>
    </row>
    <row r="48" spans="2:8" ht="14.4" thickBot="1" x14ac:dyDescent="0.3">
      <c r="C48" s="113"/>
      <c r="D48" s="113"/>
      <c r="E48" s="55" t="s">
        <v>232</v>
      </c>
      <c r="F48" s="408">
        <v>1924.1780000000001</v>
      </c>
      <c r="G48" s="408"/>
      <c r="H48" s="110"/>
    </row>
    <row r="49" spans="2:8" ht="14.4" thickBot="1" x14ac:dyDescent="0.3">
      <c r="C49" s="113"/>
      <c r="D49" s="113"/>
      <c r="E49" s="55" t="s">
        <v>233</v>
      </c>
      <c r="F49" s="408">
        <v>1940.222</v>
      </c>
      <c r="G49" s="408"/>
      <c r="H49" s="110"/>
    </row>
    <row r="50" spans="2:8" ht="14.4" thickBot="1" x14ac:dyDescent="0.3">
      <c r="C50" s="54"/>
      <c r="D50" s="56"/>
      <c r="E50" s="55" t="s">
        <v>234</v>
      </c>
      <c r="F50" s="71">
        <f>'3. GGbudget'!F15</f>
        <v>21436.400000000001</v>
      </c>
      <c r="G50" s="72">
        <f>'3. GGbudget'!H15</f>
        <v>21436.400000000001</v>
      </c>
      <c r="H50" s="110"/>
    </row>
    <row r="51" spans="2:8" ht="14.4" thickBot="1" x14ac:dyDescent="0.3">
      <c r="C51" s="54"/>
      <c r="D51" s="56"/>
      <c r="E51" s="55" t="s">
        <v>235</v>
      </c>
      <c r="F51" s="71">
        <f>'3. GGbudget'!E15</f>
        <v>21263</v>
      </c>
      <c r="G51" s="72">
        <f>'3. GGbudget'!G15</f>
        <v>21263</v>
      </c>
      <c r="H51" s="110"/>
    </row>
    <row r="52" spans="2:8" ht="14.4" thickBot="1" x14ac:dyDescent="0.3">
      <c r="C52" s="54"/>
      <c r="D52" s="56"/>
      <c r="E52" s="55" t="s">
        <v>236</v>
      </c>
      <c r="F52" s="221">
        <f>'2. Macro'!L37-'2. Macro'!K37</f>
        <v>-7.7551630380198144</v>
      </c>
      <c r="G52" s="74">
        <f>'2. Macro'!L36-'2. Macro'!K36</f>
        <v>-7.7551661300904362</v>
      </c>
    </row>
    <row r="53" spans="2:8" ht="14.4" thickBot="1" x14ac:dyDescent="0.3">
      <c r="C53" s="73"/>
      <c r="D53" s="56"/>
      <c r="E53" s="55" t="s">
        <v>237</v>
      </c>
      <c r="F53" s="221">
        <f>-7.6-'2. Macro'!K37</f>
        <v>-8.0735992952907978</v>
      </c>
      <c r="G53" s="74">
        <f>-7.6-'2. Macro'!K36</f>
        <v>-8.0735990045006236</v>
      </c>
    </row>
    <row r="54" spans="2:8" ht="14.4" thickBot="1" x14ac:dyDescent="0.3">
      <c r="C54" s="75" t="s">
        <v>308</v>
      </c>
      <c r="D54" s="56"/>
      <c r="E54" s="75" t="s">
        <v>238</v>
      </c>
      <c r="F54" s="403">
        <v>1.0178394174383401</v>
      </c>
      <c r="G54" s="404"/>
    </row>
    <row r="55" spans="2:8" ht="15" customHeight="1" thickBot="1" x14ac:dyDescent="0.3">
      <c r="C55" s="75" t="s">
        <v>309</v>
      </c>
      <c r="D55" s="56"/>
      <c r="E55" s="75" t="s">
        <v>239</v>
      </c>
      <c r="F55" s="403">
        <v>1.0141355272699499</v>
      </c>
      <c r="G55" s="404"/>
    </row>
    <row r="56" spans="2:8" ht="15" customHeight="1" thickBot="1" x14ac:dyDescent="0.3">
      <c r="C56" s="75" t="s">
        <v>310</v>
      </c>
      <c r="D56" s="56"/>
      <c r="E56" s="75" t="s">
        <v>240</v>
      </c>
      <c r="F56" s="405">
        <v>1.024</v>
      </c>
      <c r="G56" s="406"/>
    </row>
    <row r="57" spans="2:8" ht="15" customHeight="1" thickBot="1" x14ac:dyDescent="0.3">
      <c r="C57" s="75" t="s">
        <v>311</v>
      </c>
      <c r="D57" s="56"/>
      <c r="E57" s="75" t="s">
        <v>241</v>
      </c>
      <c r="F57" s="405">
        <v>1.02</v>
      </c>
      <c r="G57" s="406"/>
    </row>
    <row r="58" spans="2:8" ht="15" customHeight="1" thickBot="1" x14ac:dyDescent="0.3">
      <c r="C58" s="76" t="s">
        <v>312</v>
      </c>
      <c r="D58" s="56"/>
      <c r="E58" s="75" t="s">
        <v>242</v>
      </c>
      <c r="F58" s="221">
        <v>1.1911023360818396</v>
      </c>
      <c r="G58" s="74">
        <v>1.1911023360818396</v>
      </c>
    </row>
    <row r="59" spans="2:8" ht="15" customHeight="1" thickBot="1" x14ac:dyDescent="0.3">
      <c r="D59" s="56"/>
      <c r="E59" s="55" t="s">
        <v>243</v>
      </c>
      <c r="F59" s="221">
        <f>'2. Macro'!M20</f>
        <v>0.43721488631527361</v>
      </c>
      <c r="G59" s="74">
        <f>'2. Macro'!M19</f>
        <v>2.1846057085060711</v>
      </c>
    </row>
    <row r="60" spans="2:8" ht="15" customHeight="1" thickBot="1" x14ac:dyDescent="0.3">
      <c r="D60" s="56"/>
      <c r="E60" s="55" t="s">
        <v>244</v>
      </c>
      <c r="F60" s="407">
        <f>'2. Macro'!M31</f>
        <v>4.5999999999999996</v>
      </c>
      <c r="G60" s="407"/>
    </row>
    <row r="61" spans="2:8" ht="15" customHeight="1" thickBot="1" x14ac:dyDescent="0.3">
      <c r="D61" s="55"/>
      <c r="E61" s="55" t="s">
        <v>245</v>
      </c>
      <c r="F61" s="77">
        <f>+F46-F48</f>
        <v>17125.707746040003</v>
      </c>
      <c r="G61" s="77">
        <f>+G46-F48</f>
        <v>17125.707746040003</v>
      </c>
    </row>
    <row r="62" spans="2:8" ht="15" customHeight="1" thickBot="1" x14ac:dyDescent="0.3">
      <c r="D62" s="55"/>
      <c r="E62" s="55" t="s">
        <v>246</v>
      </c>
      <c r="F62" s="78">
        <f>+F47-F49</f>
        <v>15734.677057016803</v>
      </c>
      <c r="G62" s="79">
        <f>+G47-F49</f>
        <v>15734.677057016803</v>
      </c>
    </row>
    <row r="63" spans="2:8" ht="15" customHeight="1" thickBot="1" x14ac:dyDescent="0.3">
      <c r="D63" s="55"/>
      <c r="E63" s="55" t="s">
        <v>247</v>
      </c>
      <c r="F63" s="77">
        <f>+(F61/F62-1)*100</f>
        <v>8.8405417154899801</v>
      </c>
      <c r="G63" s="80">
        <f>+(G61/G62-1)*100</f>
        <v>8.8405417154899801</v>
      </c>
    </row>
    <row r="64" spans="2:8" s="12" customFormat="1" ht="16.8" thickBot="1" x14ac:dyDescent="0.4">
      <c r="B64" s="109"/>
      <c r="C64" s="1"/>
      <c r="D64" s="55"/>
      <c r="E64" s="55" t="s">
        <v>248</v>
      </c>
      <c r="F64" s="286">
        <f>(POWER('2. Macro'!O16/'2. Macro'!E16,0.1)*POWER(PRODUCT(F54:F57),0.25)-1)</f>
        <v>4.931572149584329E-2</v>
      </c>
      <c r="G64" s="287">
        <f>(POWER('2. Macro'!O15/'2. Macro'!E15,0.1)*POWER(PRODUCT(F54:F57),0.25)-1)</f>
        <v>4.7822467310080663E-2</v>
      </c>
    </row>
    <row r="65" spans="2:9" s="12" customFormat="1" x14ac:dyDescent="0.25">
      <c r="B65" s="109"/>
      <c r="C65" s="1"/>
      <c r="D65" s="55"/>
      <c r="E65" s="55"/>
      <c r="F65" s="84"/>
      <c r="G65" s="84"/>
    </row>
    <row r="66" spans="2:9" s="12" customFormat="1" ht="15" thickBot="1" x14ac:dyDescent="0.35">
      <c r="B66" s="109"/>
      <c r="C66" s="1"/>
      <c r="D66" s="10"/>
      <c r="E66" s="10" t="s">
        <v>50</v>
      </c>
      <c r="F66" s="10"/>
      <c r="G66" s="5"/>
      <c r="H66" s="210" t="s">
        <v>51</v>
      </c>
    </row>
    <row r="67" spans="2:9" s="12" customFormat="1" ht="15" thickBot="1" x14ac:dyDescent="0.35">
      <c r="B67" s="109"/>
      <c r="C67" s="1"/>
      <c r="D67" s="10"/>
      <c r="E67" s="10" t="s">
        <v>52</v>
      </c>
      <c r="F67" s="397" t="s">
        <v>23</v>
      </c>
      <c r="G67" s="398"/>
      <c r="H67" s="210" t="s">
        <v>53</v>
      </c>
    </row>
    <row r="68" spans="2:9" s="12" customFormat="1" ht="15" thickBot="1" x14ac:dyDescent="0.35">
      <c r="B68" s="109"/>
      <c r="C68" s="1"/>
      <c r="D68" s="10"/>
      <c r="E68" s="10" t="s">
        <v>54</v>
      </c>
      <c r="F68" s="399" t="s">
        <v>24</v>
      </c>
      <c r="G68" s="400"/>
      <c r="H68" s="237" t="s">
        <v>55</v>
      </c>
    </row>
    <row r="69" spans="2:9" s="12" customFormat="1" ht="15" thickBot="1" x14ac:dyDescent="0.35">
      <c r="B69" s="109"/>
      <c r="C69" s="1"/>
      <c r="D69" s="10"/>
      <c r="E69" s="10" t="s">
        <v>249</v>
      </c>
      <c r="F69" s="401" t="s">
        <v>250</v>
      </c>
      <c r="G69" s="402"/>
      <c r="H69" s="210" t="s">
        <v>251</v>
      </c>
    </row>
    <row r="70" spans="2:9" s="12" customFormat="1" x14ac:dyDescent="0.25">
      <c r="B70" s="62"/>
      <c r="D70" s="230" t="s">
        <v>252</v>
      </c>
      <c r="E70" s="230"/>
      <c r="F70" s="231">
        <f>IF(F6="Tiesa",1,0)</f>
        <v>1</v>
      </c>
      <c r="G70" s="231">
        <f>IF(G6="Tiesa",1,0)</f>
        <v>1</v>
      </c>
      <c r="H70" s="230" t="str">
        <f>IF(F70=1,$D70,"")</f>
        <v>A1</v>
      </c>
      <c r="I70" s="230" t="str">
        <f>IF(G70=1,$D70,"")</f>
        <v>A1</v>
      </c>
    </row>
    <row r="71" spans="2:9" x14ac:dyDescent="0.25">
      <c r="B71" s="62"/>
      <c r="C71" s="12"/>
      <c r="D71" s="230" t="s">
        <v>253</v>
      </c>
      <c r="E71" s="230"/>
      <c r="F71" s="231">
        <f>IF(F9="Tiesa",1,0)</f>
        <v>1</v>
      </c>
      <c r="G71" s="231">
        <f>IF(G9="Tiesa",1,0)</f>
        <v>1</v>
      </c>
      <c r="H71" s="230" t="str">
        <f t="shared" ref="H71:I74" si="0">IF(F71=1,$D71,"")</f>
        <v>A2</v>
      </c>
      <c r="I71" s="230" t="str">
        <f t="shared" si="0"/>
        <v>A2</v>
      </c>
    </row>
    <row r="72" spans="2:9" x14ac:dyDescent="0.25">
      <c r="C72" s="23"/>
      <c r="D72" s="230" t="s">
        <v>254</v>
      </c>
      <c r="E72" s="230"/>
      <c r="F72" s="231">
        <f>IF(F15="Tiesa",1,0)</f>
        <v>0</v>
      </c>
      <c r="G72" s="231">
        <f>IF(G15="Tiesa",1,0)</f>
        <v>0</v>
      </c>
      <c r="H72" s="230" t="str">
        <f>IF(F72=1,$D72,"")</f>
        <v/>
      </c>
      <c r="I72" s="230" t="str">
        <f t="shared" si="0"/>
        <v/>
      </c>
    </row>
    <row r="73" spans="2:9" x14ac:dyDescent="0.25">
      <c r="D73" s="230" t="s">
        <v>255</v>
      </c>
      <c r="E73" s="230"/>
      <c r="F73" s="231">
        <f>IF(F18="Tiesa",1,0)</f>
        <v>0</v>
      </c>
      <c r="G73" s="231">
        <f>IF(G18="Tiesa",1,0)</f>
        <v>0</v>
      </c>
      <c r="H73" s="230" t="str">
        <f t="shared" si="0"/>
        <v/>
      </c>
      <c r="I73" s="230" t="str">
        <f t="shared" si="0"/>
        <v/>
      </c>
    </row>
    <row r="74" spans="2:9" x14ac:dyDescent="0.25">
      <c r="D74" s="230" t="s">
        <v>256</v>
      </c>
      <c r="E74" s="230"/>
      <c r="F74" s="231">
        <f>IF(F20="Tiesa",1,0)</f>
        <v>0</v>
      </c>
      <c r="G74" s="231">
        <f>IF(G20="Tiesa",1,0)</f>
        <v>0</v>
      </c>
      <c r="H74" s="230" t="str">
        <f t="shared" si="0"/>
        <v/>
      </c>
      <c r="I74" s="230" t="str">
        <f>IF(G74=1,$D74,"")</f>
        <v/>
      </c>
    </row>
    <row r="75" spans="2:9" x14ac:dyDescent="0.25">
      <c r="D75" s="179"/>
      <c r="E75" s="179"/>
      <c r="F75" s="231">
        <f>SUM(F70:F74)</f>
        <v>2</v>
      </c>
      <c r="G75" s="231">
        <f>SUM(G70:G74)</f>
        <v>2</v>
      </c>
      <c r="H75" s="179"/>
      <c r="I75" s="179"/>
    </row>
    <row r="76" spans="2:9" x14ac:dyDescent="0.25">
      <c r="D76" s="179"/>
      <c r="E76" s="179"/>
      <c r="F76" s="179"/>
      <c r="G76" s="179"/>
      <c r="H76" s="179"/>
      <c r="I76" s="179"/>
    </row>
  </sheetData>
  <mergeCells count="48">
    <mergeCell ref="B38:B41"/>
    <mergeCell ref="C38:C39"/>
    <mergeCell ref="B12:B14"/>
    <mergeCell ref="C12:C13"/>
    <mergeCell ref="D12:E14"/>
    <mergeCell ref="B23:B25"/>
    <mergeCell ref="D23:E25"/>
    <mergeCell ref="B18:B19"/>
    <mergeCell ref="D18:E19"/>
    <mergeCell ref="C20:C21"/>
    <mergeCell ref="D20:E22"/>
    <mergeCell ref="B20:B22"/>
    <mergeCell ref="F30:G30"/>
    <mergeCell ref="D30:E30"/>
    <mergeCell ref="C31:C35"/>
    <mergeCell ref="B26:B29"/>
    <mergeCell ref="D26:E29"/>
    <mergeCell ref="C26:C27"/>
    <mergeCell ref="C28:C29"/>
    <mergeCell ref="B31:B37"/>
    <mergeCell ref="C36:C37"/>
    <mergeCell ref="C43:E43"/>
    <mergeCell ref="C6:C7"/>
    <mergeCell ref="C42:E42"/>
    <mergeCell ref="B1:C1"/>
    <mergeCell ref="B3:G3"/>
    <mergeCell ref="D4:E4"/>
    <mergeCell ref="F4:G4"/>
    <mergeCell ref="D6:E8"/>
    <mergeCell ref="B6:B8"/>
    <mergeCell ref="B9:B11"/>
    <mergeCell ref="D9:E11"/>
    <mergeCell ref="B15:B17"/>
    <mergeCell ref="D15:E17"/>
    <mergeCell ref="C9:C10"/>
    <mergeCell ref="C15:C16"/>
    <mergeCell ref="B5:E5"/>
    <mergeCell ref="F67:G67"/>
    <mergeCell ref="F68:G68"/>
    <mergeCell ref="F69:G69"/>
    <mergeCell ref="F45:G45"/>
    <mergeCell ref="F55:G55"/>
    <mergeCell ref="F56:G56"/>
    <mergeCell ref="F57:G57"/>
    <mergeCell ref="F54:G54"/>
    <mergeCell ref="F60:G60"/>
    <mergeCell ref="F48:G48"/>
    <mergeCell ref="F49:G49"/>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5"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22"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21"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G15:G16</xm:sqref>
        </x14:conditionalFormatting>
        <x14:conditionalFormatting xmlns:xm="http://schemas.microsoft.com/office/excel/2006/main">
          <x14:cfRule type="iconSet" priority="20"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 xmlns:xm="http://schemas.microsoft.com/office/excel/2006/main">
          <x14:cfRule type="iconSet" priority="19"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G7:G8</xm:sqref>
        </x14:conditionalFormatting>
        <x14:conditionalFormatting xmlns:xm="http://schemas.microsoft.com/office/excel/2006/main">
          <x14:cfRule type="iconSet" priority="23"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xm:sqref>
        </x14:conditionalFormatting>
        <x14:conditionalFormatting xmlns:xm="http://schemas.microsoft.com/office/excel/2006/main">
          <x14:cfRule type="iconSet" priority="24"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F15:F16</xm:sqref>
        </x14:conditionalFormatting>
        <x14:conditionalFormatting xmlns:xm="http://schemas.microsoft.com/office/excel/2006/main">
          <x14:cfRule type="iconSet" priority="25"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26"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F7:F8</xm:sqref>
        </x14:conditionalFormatting>
        <x14:conditionalFormatting xmlns:xm="http://schemas.microsoft.com/office/excel/2006/main">
          <x14:cfRule type="iconSet" priority="27"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F9:F11</xm:sqref>
        </x14:conditionalFormatting>
        <x14:conditionalFormatting xmlns:xm="http://schemas.microsoft.com/office/excel/2006/main">
          <x14:cfRule type="iconSet" priority="28"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6"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G6</xm:sqref>
        </x14:conditionalFormatting>
        <x14:conditionalFormatting xmlns:xm="http://schemas.microsoft.com/office/excel/2006/main">
          <x14:cfRule type="iconSet" priority="12"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11" id="{94B1351A-E0CA-4C4B-B0DA-BEAC2375190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F12:F14</xm:sqref>
        </x14:conditionalFormatting>
        <x14:conditionalFormatting xmlns:xm="http://schemas.microsoft.com/office/excel/2006/main">
          <x14:cfRule type="iconSet" priority="9" id="{AD4F466A-87D9-45A4-A9CF-101FBE8727A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G12</xm:sqref>
        </x14:conditionalFormatting>
        <x14:conditionalFormatting xmlns:xm="http://schemas.microsoft.com/office/excel/2006/main">
          <x14:cfRule type="iconSet" priority="10" id="{BE52531B-405C-4C3A-9FE1-4A8EF6F4822F}">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xm:sqref>
        </x14:conditionalFormatting>
        <x14:conditionalFormatting xmlns:xm="http://schemas.microsoft.com/office/excel/2006/main">
          <x14:cfRule type="iconSet" priority="8" id="{CB7EACB7-8890-452A-8454-A7576317CC1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6" id="{799A5DD3-7A74-4AF3-9214-4F5CB452902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F23</xm:sqref>
        </x14:conditionalFormatting>
        <x14:conditionalFormatting xmlns:xm="http://schemas.microsoft.com/office/excel/2006/main">
          <x14:cfRule type="iconSet" priority="7" id="{17012605-FE99-4F92-887F-2E7656CC42F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F25</xm:sqref>
        </x14:conditionalFormatting>
        <x14:conditionalFormatting xmlns:xm="http://schemas.microsoft.com/office/excel/2006/main">
          <x14:cfRule type="iconSet" priority="5" id="{282FEC66-355C-4434-914B-8E9EC63EE40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F24</xm:sqref>
        </x14:conditionalFormatting>
        <x14:conditionalFormatting xmlns:xm="http://schemas.microsoft.com/office/excel/2006/main">
          <x14:cfRule type="iconSet" priority="4" id="{32377812-0E3F-4542-A1BC-8C63697D12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G25</xm:sqref>
        </x14:conditionalFormatting>
        <x14:conditionalFormatting xmlns:xm="http://schemas.microsoft.com/office/excel/2006/main">
          <x14:cfRule type="iconSet" priority="3" id="{27BFE347-887C-43A6-B54F-BB5B1A6158C9}">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G23</xm:sqref>
        </x14:conditionalFormatting>
        <x14:conditionalFormatting xmlns:xm="http://schemas.microsoft.com/office/excel/2006/main">
          <x14:cfRule type="iconSet" priority="1" id="{33CA2C0E-BCC6-4B05-A044-5BF5FE34A62F}">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rgb="FF47ABD9"/>
  </sheetPr>
  <dimension ref="A1:H38"/>
  <sheetViews>
    <sheetView showGridLines="0" showRowColHeaders="0" zoomScaleNormal="100" workbookViewId="0"/>
  </sheetViews>
  <sheetFormatPr defaultColWidth="10" defaultRowHeight="13.8" x14ac:dyDescent="0.25"/>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8" x14ac:dyDescent="0.25">
      <c r="B1" s="373" t="s">
        <v>19</v>
      </c>
      <c r="C1" s="373"/>
      <c r="D1" s="2"/>
    </row>
    <row r="2" spans="1:8" ht="14.4" thickBot="1" x14ac:dyDescent="0.3">
      <c r="A2" s="12" t="s">
        <v>20</v>
      </c>
    </row>
    <row r="3" spans="1:8" ht="38.25" customHeight="1" thickTop="1" thickBot="1" x14ac:dyDescent="0.3">
      <c r="B3" s="312" t="s">
        <v>325</v>
      </c>
      <c r="C3" s="374"/>
      <c r="D3" s="374"/>
      <c r="E3" s="374"/>
      <c r="F3" s="375"/>
    </row>
    <row r="4" spans="1:8" ht="28.8" thickBot="1" x14ac:dyDescent="0.35">
      <c r="B4" s="105" t="s">
        <v>200</v>
      </c>
      <c r="C4" s="222" t="s">
        <v>224</v>
      </c>
      <c r="D4" s="222" t="s">
        <v>160</v>
      </c>
      <c r="E4" s="427" t="s">
        <v>161</v>
      </c>
      <c r="F4" s="428"/>
    </row>
    <row r="5" spans="1:8" ht="30" customHeight="1" thickBot="1" x14ac:dyDescent="0.3">
      <c r="B5" s="378" t="s">
        <v>321</v>
      </c>
      <c r="C5" s="379"/>
      <c r="D5" s="380"/>
      <c r="E5" s="129" t="s">
        <v>23</v>
      </c>
      <c r="F5" s="130" t="s">
        <v>24</v>
      </c>
    </row>
    <row r="6" spans="1:8" ht="104.25" customHeight="1" x14ac:dyDescent="0.25">
      <c r="B6" s="218" t="s">
        <v>257</v>
      </c>
      <c r="C6" s="191" t="s">
        <v>258</v>
      </c>
      <c r="D6" s="462" t="s">
        <v>259</v>
      </c>
      <c r="E6" s="154" t="s">
        <v>290</v>
      </c>
      <c r="F6" s="156" t="str">
        <f>E6</f>
        <v>Savivaldybių biudžetų atitiktis fiskalinės drausmės taisyklėms bus vertinama 2022 m. I pusmečio pabaigoje</v>
      </c>
    </row>
    <row r="7" spans="1:8" ht="61.5" customHeight="1" thickBot="1" x14ac:dyDescent="0.3">
      <c r="B7" s="219"/>
      <c r="C7" s="192" t="s">
        <v>260</v>
      </c>
      <c r="D7" s="464"/>
      <c r="E7" s="92" t="s">
        <v>291</v>
      </c>
      <c r="F7" s="126" t="str">
        <f>E7</f>
        <v>Will be assessed at the end of the first half of 2022</v>
      </c>
      <c r="H7" s="46"/>
    </row>
    <row r="8" spans="1:8" ht="34.5" customHeight="1" thickBot="1" x14ac:dyDescent="0.3">
      <c r="B8" s="220"/>
      <c r="C8" s="465" t="s">
        <v>261</v>
      </c>
      <c r="D8" s="466"/>
      <c r="E8" s="81"/>
      <c r="F8" s="125"/>
    </row>
    <row r="9" spans="1:8" ht="29.25" customHeight="1" x14ac:dyDescent="0.25">
      <c r="B9" s="359" t="s">
        <v>262</v>
      </c>
      <c r="C9" s="454" t="s">
        <v>263</v>
      </c>
      <c r="D9" s="462" t="s">
        <v>264</v>
      </c>
      <c r="E9" s="63" t="str">
        <f>IF(E32+eps&gt;=0,"Tiesa","Netiesa")</f>
        <v>Tiesa</v>
      </c>
      <c r="F9" s="64" t="str">
        <f>IF(F32+eps&gt;=0,"Tiesa","Netiesa")</f>
        <v>Tiesa</v>
      </c>
    </row>
    <row r="10" spans="1:8" ht="29.25" customHeight="1" x14ac:dyDescent="0.25">
      <c r="B10" s="360"/>
      <c r="C10" s="455"/>
      <c r="D10" s="463"/>
      <c r="E10" s="155" t="str">
        <f>CONCATENATE(FIXED(E32,1),IF(E32+eps&gt;= 0," ≥ "," &lt; "),FIXED(0,1))</f>
        <v>0,4 ≥ 0,0</v>
      </c>
      <c r="F10" s="104" t="str">
        <f>CONCATENATE(FIXED(F32,1),IF(F32+eps&gt;= 0," ≥ "," &lt; "),FIXED(0,1))</f>
        <v>0,3 ≥ 0,0</v>
      </c>
    </row>
    <row r="11" spans="1:8" ht="35.25" customHeight="1" thickBot="1" x14ac:dyDescent="0.3">
      <c r="B11" s="360"/>
      <c r="C11" s="193" t="s">
        <v>265</v>
      </c>
      <c r="D11" s="464"/>
      <c r="E11" s="92" t="str">
        <f>IF(E9="Tiesa","True","False")</f>
        <v>True</v>
      </c>
      <c r="F11" s="116" t="str">
        <f>IF(F9="Tiesa","True","False")</f>
        <v>True</v>
      </c>
    </row>
    <row r="12" spans="1:8" ht="21.75" customHeight="1" x14ac:dyDescent="0.25">
      <c r="B12" s="360"/>
      <c r="C12" s="467" t="s">
        <v>266</v>
      </c>
      <c r="D12" s="467"/>
      <c r="E12" s="118" t="str">
        <f>IF(E9="Netiesa","Netenkinama","Tenkinama")</f>
        <v>Tenkinama</v>
      </c>
      <c r="F12" s="119" t="str">
        <f>IF(F9="Netiesa","Netenkinama","Tenkinama")</f>
        <v>Tenkinama</v>
      </c>
    </row>
    <row r="13" spans="1:8" ht="21.75" customHeight="1" thickBot="1" x14ac:dyDescent="0.3">
      <c r="B13" s="367"/>
      <c r="C13" s="437" t="s">
        <v>267</v>
      </c>
      <c r="D13" s="437"/>
      <c r="E13" s="117" t="str">
        <f>IF(E12="Tenkinama","Valid","Invalid ")</f>
        <v>Valid</v>
      </c>
      <c r="F13" s="120" t="str">
        <f>IF(F12="Tenkinama","Valid","Invalid ")</f>
        <v>Valid</v>
      </c>
    </row>
    <row r="14" spans="1:8" ht="17.399999999999999" customHeight="1" x14ac:dyDescent="0.25">
      <c r="B14" s="359" t="s">
        <v>268</v>
      </c>
      <c r="C14" s="425" t="s">
        <v>269</v>
      </c>
      <c r="D14" s="456" t="s">
        <v>270</v>
      </c>
      <c r="E14" s="63" t="str">
        <f>IF(E29&lt;0, "Tiesa","Netiesa")</f>
        <v>Netiesa</v>
      </c>
      <c r="F14" s="64" t="str">
        <f>IF(E29&lt;0,"Tiesa","Netiesa")</f>
        <v>Netiesa</v>
      </c>
    </row>
    <row r="15" spans="1:8" ht="38.25" customHeight="1" x14ac:dyDescent="0.25">
      <c r="B15" s="360"/>
      <c r="C15" s="426"/>
      <c r="D15" s="457"/>
      <c r="E15" s="101" t="str">
        <f>CONCATENATE(FIXED(E29,1),IF(E29&lt;0," &lt; "," ≥ "),FIXED(0,1))</f>
        <v>0,4 ≥ 0,0</v>
      </c>
      <c r="F15" s="123" t="str">
        <f>CONCATENATE(FIXED(F29,1),IF(F29&lt;0," &lt; "," ≥ "),FIXED(0,1))</f>
        <v>2,2 ≥ 0,0</v>
      </c>
    </row>
    <row r="16" spans="1:8" ht="21" customHeight="1" thickBot="1" x14ac:dyDescent="0.3">
      <c r="B16" s="360"/>
      <c r="C16" s="426"/>
      <c r="D16" s="457"/>
      <c r="E16" s="92" t="str">
        <f>IF(E14="Tiesa","True","False")</f>
        <v>False</v>
      </c>
      <c r="F16" s="127" t="str">
        <f>IF(F14="Tiesa","True","False")</f>
        <v>False</v>
      </c>
    </row>
    <row r="17" spans="2:8" ht="18.75" customHeight="1" x14ac:dyDescent="0.25">
      <c r="B17" s="360"/>
      <c r="C17" s="438" t="s">
        <v>271</v>
      </c>
      <c r="D17" s="457" t="s">
        <v>272</v>
      </c>
      <c r="E17" s="65" t="str">
        <f>IF(OR((E29&gt;=0)*(E30&gt;=0),(E29&gt;=0)*(E30&gt;=E31)),"Tiesa","Netiesa")</f>
        <v>Tiesa</v>
      </c>
      <c r="F17" s="64" t="str">
        <f>IF(OR((F29&gt;=0)*(F30&gt;=0),(F29&gt;=0)*(F30&gt;=F31)),"Tiesa","Netiesa")</f>
        <v>Tiesa</v>
      </c>
    </row>
    <row r="18" spans="2:8" ht="47.25" customHeight="1" x14ac:dyDescent="0.25">
      <c r="B18" s="360"/>
      <c r="C18" s="438"/>
      <c r="D18" s="457"/>
      <c r="E18" s="155" t="str">
        <f>CONCATENATE(FIXED(E29,1),,IF(E29&lt;0," &lt; "," ≥ "),FIXED(0,1), " &amp;
","(",
 FIXED(E30,1),IF(E30&gt;=E31," ≥ "," &lt; "), FIXED(E31,1), " arba / or ",FIXED(E30,1),IF(E30&lt;0," &lt; "," ≥ "),FIXED(0,1),")")</f>
        <v>0,4 ≥ 0,0 &amp;
(0,9 ≥ 0,5 arba / or 0,9 ≥ 0,0)</v>
      </c>
      <c r="F18" s="123" t="str">
        <f>CONCATENATE(FIXED(F29,1),,IF(F29&lt;0," &lt; "," ≥ "),FIXED(0,1), " &amp;
","(", FIXED(F30,1),IF(F30&gt;=F31," ≥ "," &lt; "), FIXED(F31,1), " arba / or ",FIXED(F30,1),IF(F30&lt;0," &lt; "," ≥ "),FIXED(0,1),")")</f>
        <v>2,2 ≥ 0,0 &amp;
(0,8 ≥ 0,5 arba / or 0,8 ≥ 0,0)</v>
      </c>
    </row>
    <row r="19" spans="2:8" ht="18" customHeight="1" thickBot="1" x14ac:dyDescent="0.3">
      <c r="B19" s="360"/>
      <c r="C19" s="439"/>
      <c r="D19" s="458"/>
      <c r="E19" s="92" t="str">
        <f>IF(E17="Tiesa","True","False")</f>
        <v>True</v>
      </c>
      <c r="F19" s="126" t="str">
        <f>IF(F17="Tiesa","True","False")</f>
        <v>True</v>
      </c>
    </row>
    <row r="20" spans="2:8" ht="21" customHeight="1" x14ac:dyDescent="0.25">
      <c r="B20" s="360"/>
      <c r="C20" s="467" t="s">
        <v>273</v>
      </c>
      <c r="D20" s="467"/>
      <c r="E20" s="121" t="str">
        <f>IF(OR(E14="Tiesa",E17="Tiesa"),"Tenkinama","Netenkinama")</f>
        <v>Tenkinama</v>
      </c>
      <c r="F20" s="119" t="str">
        <f>IF(OR(F14="Tiesa",F17="Tiesa"),"Tenkinama","Netenkinama")</f>
        <v>Tenkinama</v>
      </c>
    </row>
    <row r="21" spans="2:8" ht="21" customHeight="1" thickBot="1" x14ac:dyDescent="0.3">
      <c r="B21" s="367"/>
      <c r="C21" s="437" t="s">
        <v>274</v>
      </c>
      <c r="D21" s="437"/>
      <c r="E21" s="124" t="str">
        <f>IF(E20="Tenkinama","Valid","Invalid ")</f>
        <v>Valid</v>
      </c>
      <c r="F21" s="120" t="str">
        <f>IF(F20="Tenkinama","Valid","Invalid ")</f>
        <v>Valid</v>
      </c>
    </row>
    <row r="22" spans="2:8" ht="101.25" customHeight="1" thickBot="1" x14ac:dyDescent="0.3">
      <c r="B22" s="450" t="s">
        <v>275</v>
      </c>
      <c r="C22" s="191" t="s">
        <v>276</v>
      </c>
      <c r="D22" s="223" t="s">
        <v>277</v>
      </c>
      <c r="E22" s="154" t="str">
        <f>E6</f>
        <v>Savivaldybių biudžetų atitiktis fiskalinės drausmės taisyklėms bus vertinama 2022 m. I pusmečio pabaigoje</v>
      </c>
      <c r="F22" s="156" t="str">
        <f>E22</f>
        <v>Savivaldybių biudžetų atitiktis fiskalinės drausmės taisyklėms bus vertinama 2022 m. I pusmečio pabaigoje</v>
      </c>
    </row>
    <row r="23" spans="2:8" ht="64.5" customHeight="1" thickBot="1" x14ac:dyDescent="0.3">
      <c r="B23" s="450"/>
      <c r="C23" s="460" t="s">
        <v>278</v>
      </c>
      <c r="D23" s="457" t="s">
        <v>279</v>
      </c>
      <c r="E23" s="469" t="str">
        <f>E7</f>
        <v>Will be assessed at the end of the first half of 2022</v>
      </c>
      <c r="F23" s="468" t="str">
        <f>E23</f>
        <v>Will be assessed at the end of the first half of 2022</v>
      </c>
    </row>
    <row r="24" spans="2:8" ht="42" customHeight="1" thickBot="1" x14ac:dyDescent="0.3">
      <c r="B24" s="450"/>
      <c r="C24" s="461"/>
      <c r="D24" s="458"/>
      <c r="E24" s="469"/>
      <c r="F24" s="468"/>
    </row>
    <row r="25" spans="2:8" ht="19.5" customHeight="1" thickBot="1" x14ac:dyDescent="0.3">
      <c r="B25" s="359"/>
      <c r="C25" s="389" t="s">
        <v>48</v>
      </c>
      <c r="D25" s="459"/>
      <c r="E25" s="121"/>
      <c r="F25" s="156"/>
    </row>
    <row r="26" spans="2:8" ht="19.5" customHeight="1" thickBot="1" x14ac:dyDescent="0.3">
      <c r="B26" s="451"/>
      <c r="C26" s="452" t="s">
        <v>49</v>
      </c>
      <c r="D26" s="453"/>
      <c r="E26" s="53"/>
      <c r="F26" s="122"/>
    </row>
    <row r="27" spans="2:8" ht="15" thickTop="1" thickBot="1" x14ac:dyDescent="0.3">
      <c r="C27" s="54" t="s">
        <v>280</v>
      </c>
      <c r="D27" s="29"/>
      <c r="E27" s="29"/>
      <c r="F27" s="29"/>
      <c r="H27" s="55"/>
    </row>
    <row r="28" spans="2:8" ht="14.4" thickBot="1" x14ac:dyDescent="0.3">
      <c r="C28" s="107" t="s">
        <v>281</v>
      </c>
      <c r="D28" s="55" t="s">
        <v>186</v>
      </c>
      <c r="E28" s="384">
        <v>2021</v>
      </c>
      <c r="F28" s="384"/>
      <c r="H28" s="55"/>
    </row>
    <row r="29" spans="2:8" ht="14.4" thickBot="1" x14ac:dyDescent="0.3">
      <c r="D29" s="55" t="s">
        <v>190</v>
      </c>
      <c r="E29" s="82">
        <f>'2. Macro'!M20</f>
        <v>0.43721488631527361</v>
      </c>
      <c r="F29" s="83">
        <f>'2. Macro'!M19</f>
        <v>2.1846057085060711</v>
      </c>
      <c r="H29" s="55"/>
    </row>
    <row r="30" spans="2:8" ht="16.8" thickBot="1" x14ac:dyDescent="0.4">
      <c r="D30" s="55" t="s">
        <v>282</v>
      </c>
      <c r="E30" s="82">
        <f>'3. GGbudget'!F31</f>
        <v>0.92154222377699424</v>
      </c>
      <c r="F30" s="83">
        <f>'3. GGbudget'!H31</f>
        <v>0.76677485968645487</v>
      </c>
      <c r="H30" s="55"/>
    </row>
    <row r="31" spans="2:8" ht="16.8" thickBot="1" x14ac:dyDescent="0.4">
      <c r="D31" s="55" t="s">
        <v>283</v>
      </c>
      <c r="E31" s="82">
        <f>'3. GGbudget'!E31</f>
        <v>0.5483435549794462</v>
      </c>
      <c r="F31" s="83">
        <f>'3. GGbudget'!G31</f>
        <v>0.45676992650920173</v>
      </c>
      <c r="G31" s="26"/>
      <c r="H31" s="55"/>
    </row>
    <row r="32" spans="2:8" ht="16.8" thickBot="1" x14ac:dyDescent="0.4">
      <c r="D32" s="55" t="s">
        <v>284</v>
      </c>
      <c r="E32" s="82">
        <f>'3. GGbudget'!F32</f>
        <v>0.39263893989445137</v>
      </c>
      <c r="F32" s="83">
        <f>'3. GGbudget'!H32</f>
        <v>0.31882170241421254</v>
      </c>
      <c r="H32" s="10"/>
    </row>
    <row r="33" spans="4:8" ht="15" thickBot="1" x14ac:dyDescent="0.35">
      <c r="D33" s="10" t="s">
        <v>50</v>
      </c>
      <c r="E33" s="10"/>
      <c r="F33" s="5"/>
      <c r="G33" s="134" t="s">
        <v>285</v>
      </c>
      <c r="H33" s="10"/>
    </row>
    <row r="34" spans="4:8" ht="15" thickBot="1" x14ac:dyDescent="0.35">
      <c r="D34" s="10" t="s">
        <v>52</v>
      </c>
      <c r="E34" s="397" t="s">
        <v>23</v>
      </c>
      <c r="F34" s="398"/>
      <c r="G34" s="134" t="s">
        <v>53</v>
      </c>
      <c r="H34" s="10"/>
    </row>
    <row r="35" spans="4:8" ht="15" thickBot="1" x14ac:dyDescent="0.35">
      <c r="D35" s="10" t="s">
        <v>54</v>
      </c>
      <c r="E35" s="399" t="s">
        <v>24</v>
      </c>
      <c r="F35" s="400"/>
      <c r="G35" s="237" t="s">
        <v>55</v>
      </c>
    </row>
    <row r="36" spans="4:8" x14ac:dyDescent="0.25">
      <c r="E36" s="55"/>
    </row>
    <row r="37" spans="4:8" x14ac:dyDescent="0.25">
      <c r="E37" s="55"/>
      <c r="F37" s="109"/>
    </row>
    <row r="38" spans="4:8" x14ac:dyDescent="0.25">
      <c r="E38" s="55"/>
      <c r="F38" s="109"/>
    </row>
  </sheetData>
  <mergeCells count="28">
    <mergeCell ref="D6:D7"/>
    <mergeCell ref="B1:C1"/>
    <mergeCell ref="B3:F3"/>
    <mergeCell ref="E4:F4"/>
    <mergeCell ref="B5:D5"/>
    <mergeCell ref="E35:F35"/>
    <mergeCell ref="D9:D11"/>
    <mergeCell ref="C8:D8"/>
    <mergeCell ref="C12:D12"/>
    <mergeCell ref="C20:D20"/>
    <mergeCell ref="E34:F34"/>
    <mergeCell ref="E28:F28"/>
    <mergeCell ref="F23:F24"/>
    <mergeCell ref="E23:E24"/>
    <mergeCell ref="B22:B26"/>
    <mergeCell ref="C26:D26"/>
    <mergeCell ref="C9:C10"/>
    <mergeCell ref="C13:D13"/>
    <mergeCell ref="B9:B13"/>
    <mergeCell ref="C14:C16"/>
    <mergeCell ref="D14:D16"/>
    <mergeCell ref="C21:D21"/>
    <mergeCell ref="B14:B21"/>
    <mergeCell ref="C17:C19"/>
    <mergeCell ref="D17:D19"/>
    <mergeCell ref="C25:D25"/>
    <mergeCell ref="C23:C24"/>
    <mergeCell ref="D23:D24"/>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E17</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MediaLengthInSeconds xmlns="cef9cdfa-f4fd-4645-9be5-758c494997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3" ma:contentTypeDescription="Kurkite naują dokumentą." ma:contentTypeScope="" ma:versionID="985e03e4051eefe0924448369221f2c6">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78274c8af4f7aa1c86700f02b1408373"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82EF8B-66EA-4F82-A307-9453EED8E315}">
  <ds:schemaRefs>
    <ds:schemaRef ds:uri="http://schemas.microsoft.com/office/infopath/2007/PartnerControls"/>
    <ds:schemaRef ds:uri="http://purl.org/dc/elements/1.1/"/>
    <ds:schemaRef ds:uri="http://schemas.microsoft.com/office/2006/metadata/properties"/>
    <ds:schemaRef ds:uri="cef9cdfa-f4fd-4645-9be5-758c49499792"/>
    <ds:schemaRef ds:uri="c102cb31-f5d5-4956-a0cb-1590ba369788"/>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6780A987-4A38-4293-857B-392ED21F9808}">
  <ds:schemaRefs>
    <ds:schemaRef ds:uri="http://schemas.microsoft.com/sharepoint/v3/contenttype/forms"/>
  </ds:schemaRefs>
</ds:datastoreItem>
</file>

<file path=customXml/itemProps3.xml><?xml version="1.0" encoding="utf-8"?>
<ds:datastoreItem xmlns:ds="http://schemas.openxmlformats.org/officeDocument/2006/customXml" ds:itemID="{047E6DEB-00A3-4356-B347-4E903CA5F6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Content</vt:lpstr>
      <vt:lpstr>1. Summary</vt:lpstr>
      <vt:lpstr>2. Macro</vt:lpstr>
      <vt:lpstr>3. GGbudget</vt:lpstr>
      <vt:lpstr>4. SurplusGG</vt:lpstr>
      <vt:lpstr>5. GGexpenditure</vt:lpstr>
      <vt:lpstr>6. GGbudgets</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2022-05-06T06:22:51Z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