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Šios_darbaknygės"/>
  <mc:AlternateContent xmlns:mc="http://schemas.openxmlformats.org/markup-compatibility/2006">
    <mc:Choice Requires="x15">
      <x15ac:absPath xmlns:x15ac="http://schemas.microsoft.com/office/spreadsheetml/2010/11/ac" url="C:\Users\vbindoriute\OneDrive - Lietuvos Respublikos valstybės kontrolė\Biudžeto stebėsenos departamentas\11 Isvados ir ataskaitos\Išvados 2022\3. Išvada dėl biudžeto projekto pakeitimo_antra\06. Grafikai\"/>
    </mc:Choice>
  </mc:AlternateContent>
  <xr:revisionPtr revIDLastSave="4" documentId="6_{71BAB3C1-F78E-41BC-AEC3-D917E750DFAA}" xr6:coauthVersionLast="36" xr6:coauthVersionMax="47" xr10:uidLastSave="{087EE487-2156-4247-AE6D-7376E39B16D1}"/>
  <bookViews>
    <workbookView xWindow="0" yWindow="0" windowWidth="20496" windowHeight="7548"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 i="3" l="1"/>
  <c r="G21" i="4" l="1"/>
  <c r="F15" i="4"/>
  <c r="F48" i="6"/>
  <c r="F47" i="6"/>
  <c r="F9" i="7" l="1"/>
  <c r="E9" i="7"/>
  <c r="F10" i="7"/>
  <c r="L10" i="3" l="1"/>
  <c r="F8" i="4" l="1"/>
  <c r="F18" i="4"/>
  <c r="G18" i="4"/>
  <c r="H18" i="4"/>
  <c r="H16" i="4"/>
  <c r="H22" i="4"/>
  <c r="F22" i="4"/>
  <c r="G22" i="4"/>
  <c r="E22" i="4"/>
  <c r="H20" i="4"/>
  <c r="F13" i="4"/>
  <c r="E18" i="4"/>
  <c r="F20" i="4"/>
  <c r="G20" i="4"/>
  <c r="E20" i="4"/>
  <c r="H21" i="4"/>
  <c r="F21" i="4"/>
  <c r="E21" i="4"/>
  <c r="G19" i="4"/>
  <c r="F6" i="6" l="1"/>
  <c r="F7" i="6" s="1"/>
  <c r="G6" i="6"/>
  <c r="G7" i="6" s="1"/>
  <c r="G15" i="6"/>
  <c r="G75" i="6" s="1"/>
  <c r="I75" i="6" s="1"/>
  <c r="G47" i="6"/>
  <c r="G62" i="6" s="1"/>
  <c r="G48" i="6"/>
  <c r="F49" i="6"/>
  <c r="F62" i="6" s="1"/>
  <c r="F50" i="6"/>
  <c r="F63" i="6" s="1"/>
  <c r="G51" i="6"/>
  <c r="F52" i="6"/>
  <c r="G53" i="6"/>
  <c r="F60" i="6"/>
  <c r="G60" i="6"/>
  <c r="F61" i="6"/>
  <c r="F65" i="6"/>
  <c r="G65" i="6"/>
  <c r="F66" i="6"/>
  <c r="G66" i="6" s="1"/>
  <c r="F67" i="6"/>
  <c r="G73" i="6" l="1"/>
  <c r="I73" i="6" s="1"/>
  <c r="F73" i="6"/>
  <c r="H73" i="6" s="1"/>
  <c r="G8" i="6"/>
  <c r="F18" i="6"/>
  <c r="F64" i="6"/>
  <c r="G21" i="6"/>
  <c r="F8" i="6"/>
  <c r="F25" i="6"/>
  <c r="G63" i="6"/>
  <c r="F21" i="6"/>
  <c r="F23" i="6" s="1"/>
  <c r="G64" i="6"/>
  <c r="F20" i="6"/>
  <c r="F76" i="6"/>
  <c r="H76" i="6" s="1"/>
  <c r="G25" i="6"/>
  <c r="F77" i="6"/>
  <c r="H77" i="6" s="1"/>
  <c r="G24" i="6"/>
  <c r="G26" i="6" s="1"/>
  <c r="G16" i="6"/>
  <c r="G17" i="6"/>
  <c r="F24" i="6"/>
  <c r="F26" i="6" s="1"/>
  <c r="G77" i="6" l="1"/>
  <c r="I77" i="6" s="1"/>
  <c r="G23" i="6"/>
  <c r="F22" i="6"/>
  <c r="G22" i="6"/>
  <c r="F30" i="4"/>
  <c r="D31" i="3" l="1"/>
  <c r="L33" i="3" l="1"/>
  <c r="M22" i="3" l="1"/>
  <c r="M28" i="3"/>
  <c r="M27" i="3"/>
  <c r="M21" i="3"/>
  <c r="M14" i="3"/>
  <c r="P14" i="3"/>
  <c r="O14" i="3"/>
  <c r="N14" i="3"/>
  <c r="N10" i="3"/>
  <c r="O10" i="3"/>
  <c r="P10" i="3"/>
  <c r="M10" i="3"/>
  <c r="M17" i="3"/>
  <c r="F21" i="5"/>
  <c r="H11" i="4" l="1"/>
  <c r="H23" i="4"/>
  <c r="G23" i="4"/>
  <c r="F7" i="4"/>
  <c r="M29" i="3" l="1"/>
  <c r="N28" i="3"/>
  <c r="N30" i="3" s="1"/>
  <c r="O28" i="3"/>
  <c r="O30" i="3" s="1"/>
  <c r="P28" i="3"/>
  <c r="L27" i="3"/>
  <c r="P30" i="3" l="1"/>
  <c r="G13" i="4"/>
  <c r="E7" i="4" l="1"/>
  <c r="E8" i="4" s="1"/>
  <c r="E23" i="7" l="1"/>
  <c r="F7" i="7"/>
  <c r="F22" i="7"/>
  <c r="E22" i="7"/>
  <c r="F6" i="7"/>
  <c r="F5" i="4" l="1"/>
  <c r="E5" i="4"/>
  <c r="G5" i="3" l="1"/>
  <c r="H5" i="3"/>
  <c r="I5" i="3"/>
  <c r="J5" i="3" s="1"/>
  <c r="K5" i="3" s="1"/>
  <c r="L5" i="3" s="1"/>
  <c r="F5" i="3"/>
  <c r="L19" i="3" l="1"/>
  <c r="D19" i="3"/>
  <c r="F23" i="7" l="1"/>
  <c r="L20" i="3" l="1"/>
  <c r="L13" i="3"/>
  <c r="H7" i="4" l="1"/>
  <c r="L9" i="3" l="1"/>
  <c r="H9" i="4" l="1"/>
  <c r="N17" i="3" l="1"/>
  <c r="O17" i="3"/>
  <c r="P17" i="3"/>
  <c r="M18" i="3"/>
  <c r="N18" i="3"/>
  <c r="O18" i="3"/>
  <c r="P18" i="3"/>
  <c r="L17" i="3"/>
  <c r="M11" i="3"/>
  <c r="N11" i="3" s="1"/>
  <c r="O11" i="3" s="1"/>
  <c r="P11" i="3" s="1"/>
  <c r="P19" i="3" s="1"/>
  <c r="M7" i="3"/>
  <c r="N7" i="3" s="1"/>
  <c r="O7" i="3" l="1"/>
  <c r="N27" i="3"/>
  <c r="N29" i="3" s="1"/>
  <c r="P20" i="3"/>
  <c r="P22" i="3" s="1"/>
  <c r="M20" i="3"/>
  <c r="P21" i="3"/>
  <c r="P23" i="3"/>
  <c r="P25" i="3"/>
  <c r="N20" i="3"/>
  <c r="N19" i="3"/>
  <c r="M19" i="3"/>
  <c r="O19" i="3"/>
  <c r="F13" i="3"/>
  <c r="G13" i="3"/>
  <c r="H13" i="3"/>
  <c r="I13" i="3"/>
  <c r="J13" i="3"/>
  <c r="K13" i="3"/>
  <c r="F10" i="3"/>
  <c r="G10" i="3"/>
  <c r="H10" i="3"/>
  <c r="I10" i="3"/>
  <c r="J10" i="3"/>
  <c r="K10" i="3"/>
  <c r="F9" i="3"/>
  <c r="G9" i="3"/>
  <c r="H9" i="3"/>
  <c r="I9" i="3"/>
  <c r="J9" i="3"/>
  <c r="K9" i="3"/>
  <c r="M24" i="3" l="1"/>
  <c r="P7" i="3"/>
  <c r="P27" i="3" s="1"/>
  <c r="P29" i="3" s="1"/>
  <c r="O27" i="3"/>
  <c r="O29" i="3" s="1"/>
  <c r="O20" i="3"/>
  <c r="P24" i="3"/>
  <c r="P26" i="3"/>
  <c r="F31" i="5"/>
  <c r="F29" i="7"/>
  <c r="E31" i="5"/>
  <c r="E29" i="7"/>
  <c r="E14" i="7" s="1"/>
  <c r="M23" i="3"/>
  <c r="M25" i="3"/>
  <c r="N21" i="3"/>
  <c r="N23" i="3"/>
  <c r="N25" i="3"/>
  <c r="O21" i="3"/>
  <c r="O23" i="3"/>
  <c r="O25" i="3"/>
  <c r="M26" i="3"/>
  <c r="N22" i="3"/>
  <c r="N24" i="3"/>
  <c r="N26" i="3"/>
  <c r="O22" i="3"/>
  <c r="O24" i="3"/>
  <c r="O26" i="3"/>
  <c r="H6" i="4"/>
  <c r="G6" i="4"/>
  <c r="F6" i="4"/>
  <c r="E6" i="4"/>
  <c r="E10" i="4" s="1"/>
  <c r="H5" i="4"/>
  <c r="G5" i="4"/>
  <c r="F15" i="7" l="1"/>
  <c r="F14" i="7"/>
  <c r="H12" i="4"/>
  <c r="H32" i="4" s="1"/>
  <c r="H8" i="4"/>
  <c r="F12" i="4"/>
  <c r="L36" i="3"/>
  <c r="G67" i="6" l="1"/>
  <c r="F9" i="6"/>
  <c r="F10" i="6" s="1"/>
  <c r="H17" i="3"/>
  <c r="E19" i="3"/>
  <c r="G18" i="6" l="1"/>
  <c r="G19" i="6"/>
  <c r="F11" i="6"/>
  <c r="F74" i="6"/>
  <c r="L28" i="3"/>
  <c r="M30" i="3" s="1"/>
  <c r="L21" i="3"/>
  <c r="G76" i="6" l="1"/>
  <c r="I76" i="6" s="1"/>
  <c r="G20" i="6"/>
  <c r="H74" i="6"/>
  <c r="E7" i="5"/>
  <c r="C12" i="2" s="1"/>
  <c r="E6" i="5"/>
  <c r="C11" i="2" s="1"/>
  <c r="D26" i="3"/>
  <c r="D39" i="3" s="1"/>
  <c r="K20" i="3" l="1"/>
  <c r="K26" i="3" l="1"/>
  <c r="D26" i="2" l="1"/>
  <c r="D25" i="2"/>
  <c r="C26" i="2"/>
  <c r="C25" i="2"/>
  <c r="D32" i="2"/>
  <c r="D31" i="2"/>
  <c r="C32" i="2"/>
  <c r="C31" i="2"/>
  <c r="E21" i="5" l="1"/>
  <c r="F23" i="5"/>
  <c r="E23" i="5"/>
  <c r="F20" i="5"/>
  <c r="E20" i="5"/>
  <c r="D10" i="2" l="1"/>
  <c r="C10" i="2"/>
  <c r="E36" i="5"/>
  <c r="E39" i="5"/>
  <c r="E38" i="5"/>
  <c r="E37" i="5"/>
  <c r="F22" i="5"/>
  <c r="D9" i="2" s="1"/>
  <c r="E32" i="5"/>
  <c r="E30" i="5"/>
  <c r="F18" i="5" l="1"/>
  <c r="E18" i="5"/>
  <c r="E17" i="5"/>
  <c r="E19" i="5" s="1"/>
  <c r="F17" i="5"/>
  <c r="F19" i="5" s="1"/>
  <c r="E40" i="5"/>
  <c r="D7" i="2"/>
  <c r="C8" i="2" l="1"/>
  <c r="D8" i="2"/>
  <c r="E22" i="5"/>
  <c r="C9" i="2" s="1"/>
  <c r="C7" i="2"/>
  <c r="H29" i="4" l="1"/>
  <c r="G29" i="4"/>
  <c r="G15" i="4" l="1"/>
  <c r="G11" i="4"/>
  <c r="G9" i="4"/>
  <c r="G16" i="4" l="1"/>
  <c r="G52" i="6"/>
  <c r="G7" i="4"/>
  <c r="H10" i="4"/>
  <c r="E24" i="4"/>
  <c r="L37" i="3"/>
  <c r="F53" i="6" s="1"/>
  <c r="K37" i="3"/>
  <c r="F54" i="6" s="1"/>
  <c r="G54" i="6" s="1"/>
  <c r="J37" i="3"/>
  <c r="I37" i="3"/>
  <c r="H37" i="3"/>
  <c r="G37" i="3"/>
  <c r="F37" i="3"/>
  <c r="E37" i="3"/>
  <c r="K36" i="3"/>
  <c r="J36" i="3"/>
  <c r="I36" i="3"/>
  <c r="H36" i="3"/>
  <c r="G36" i="3"/>
  <c r="F36" i="3"/>
  <c r="E36" i="3"/>
  <c r="D36" i="3"/>
  <c r="D37" i="3" s="1"/>
  <c r="K33" i="3"/>
  <c r="J33" i="3"/>
  <c r="I33" i="3"/>
  <c r="H33" i="3"/>
  <c r="G33" i="3"/>
  <c r="F33" i="3"/>
  <c r="D33" i="3"/>
  <c r="D30" i="3"/>
  <c r="D29" i="3"/>
  <c r="K28" i="3"/>
  <c r="L30" i="3" s="1"/>
  <c r="J28" i="3"/>
  <c r="I28" i="3"/>
  <c r="H28" i="3"/>
  <c r="G28" i="3"/>
  <c r="F28" i="3"/>
  <c r="E28" i="3"/>
  <c r="D28" i="3"/>
  <c r="K27" i="3"/>
  <c r="J27" i="3"/>
  <c r="I27" i="3"/>
  <c r="H27" i="3"/>
  <c r="G27" i="3"/>
  <c r="F27" i="3"/>
  <c r="E27" i="3"/>
  <c r="D27" i="3"/>
  <c r="D40" i="3"/>
  <c r="D25" i="3"/>
  <c r="D24" i="3"/>
  <c r="D23" i="3"/>
  <c r="D22" i="3"/>
  <c r="D21" i="3"/>
  <c r="J20" i="3"/>
  <c r="J26" i="3" s="1"/>
  <c r="I20" i="3"/>
  <c r="H20" i="3"/>
  <c r="G20" i="3"/>
  <c r="F20" i="3"/>
  <c r="E20" i="3"/>
  <c r="D20" i="3"/>
  <c r="L25" i="3"/>
  <c r="K19" i="3"/>
  <c r="J19" i="3"/>
  <c r="J23" i="3" s="1"/>
  <c r="I19" i="3"/>
  <c r="H19" i="3"/>
  <c r="G19" i="3"/>
  <c r="F19" i="3"/>
  <c r="L18" i="3"/>
  <c r="K18" i="3"/>
  <c r="J18" i="3"/>
  <c r="I18" i="3"/>
  <c r="H18" i="3"/>
  <c r="G18" i="3"/>
  <c r="F18" i="3"/>
  <c r="D18" i="3"/>
  <c r="K17" i="3"/>
  <c r="J17" i="3"/>
  <c r="I17" i="3"/>
  <c r="G17" i="3"/>
  <c r="F17" i="3"/>
  <c r="D17" i="3"/>
  <c r="L14" i="3"/>
  <c r="K14" i="3"/>
  <c r="J14" i="3"/>
  <c r="I14" i="3"/>
  <c r="H14" i="3"/>
  <c r="G14" i="3"/>
  <c r="F14" i="3"/>
  <c r="D14" i="3"/>
  <c r="D13" i="3"/>
  <c r="D11" i="3"/>
  <c r="D10" i="3"/>
  <c r="D12" i="3" s="1"/>
  <c r="D9" i="3"/>
  <c r="F15" i="6" l="1"/>
  <c r="F12" i="6"/>
  <c r="F13" i="6" s="1"/>
  <c r="G12" i="6"/>
  <c r="L29" i="3"/>
  <c r="F24" i="4"/>
  <c r="F29" i="3"/>
  <c r="J29" i="3"/>
  <c r="I30" i="3"/>
  <c r="K21" i="3"/>
  <c r="K23" i="3"/>
  <c r="L26" i="3"/>
  <c r="L24" i="3"/>
  <c r="L22" i="3"/>
  <c r="E30" i="4" s="1"/>
  <c r="H24" i="4"/>
  <c r="G10" i="4"/>
  <c r="E26" i="4"/>
  <c r="E31" i="4" s="1"/>
  <c r="H29" i="3"/>
  <c r="G30" i="3"/>
  <c r="K30" i="3"/>
  <c r="F10" i="4"/>
  <c r="F26" i="4"/>
  <c r="H30" i="4"/>
  <c r="E28" i="4"/>
  <c r="F28" i="4"/>
  <c r="F32" i="4" s="1"/>
  <c r="E32" i="7" s="1"/>
  <c r="E10" i="7" s="1"/>
  <c r="G26" i="4"/>
  <c r="H14" i="4"/>
  <c r="H26" i="4"/>
  <c r="H31" i="4" s="1"/>
  <c r="G8" i="4"/>
  <c r="G24" i="4"/>
  <c r="E14" i="4"/>
  <c r="E12" i="4"/>
  <c r="G28" i="4"/>
  <c r="H28" i="4"/>
  <c r="G14" i="4"/>
  <c r="G29" i="3"/>
  <c r="E16" i="4"/>
  <c r="G12" i="4"/>
  <c r="F30" i="3"/>
  <c r="J30" i="3"/>
  <c r="K29" i="3"/>
  <c r="I29" i="3"/>
  <c r="H30" i="3"/>
  <c r="P5" i="3"/>
  <c r="O5" i="3"/>
  <c r="N5" i="3"/>
  <c r="G21" i="3"/>
  <c r="I22" i="3"/>
  <c r="H21" i="3"/>
  <c r="F22" i="3"/>
  <c r="J22" i="3"/>
  <c r="L23" i="3"/>
  <c r="J24" i="3"/>
  <c r="J25" i="3"/>
  <c r="E22" i="3"/>
  <c r="E21" i="3"/>
  <c r="I21" i="3"/>
  <c r="G22" i="3"/>
  <c r="K22" i="3"/>
  <c r="K24" i="3"/>
  <c r="K25" i="3"/>
  <c r="F21" i="3"/>
  <c r="J21" i="3"/>
  <c r="H22" i="3"/>
  <c r="G9" i="6" l="1"/>
  <c r="G10" i="6" s="1"/>
  <c r="G14" i="6"/>
  <c r="G39" i="6"/>
  <c r="G41" i="6" s="1"/>
  <c r="G13" i="6"/>
  <c r="F14" i="6"/>
  <c r="F39" i="6"/>
  <c r="F41" i="6" s="1"/>
  <c r="F16" i="6"/>
  <c r="F19" i="6"/>
  <c r="F75" i="6"/>
  <c r="F17" i="6"/>
  <c r="F27" i="6"/>
  <c r="G30" i="4"/>
  <c r="F31" i="4"/>
  <c r="E30" i="7" s="1"/>
  <c r="E31" i="7"/>
  <c r="F32" i="7"/>
  <c r="G32" i="4"/>
  <c r="G31" i="4"/>
  <c r="F31" i="7" s="1"/>
  <c r="F29" i="5"/>
  <c r="E32" i="4"/>
  <c r="E28" i="5"/>
  <c r="E15" i="7"/>
  <c r="F30" i="7"/>
  <c r="F28" i="5"/>
  <c r="E29" i="5"/>
  <c r="E12" i="5" s="1"/>
  <c r="E16" i="7"/>
  <c r="F16" i="7"/>
  <c r="G27" i="6" l="1"/>
  <c r="G11" i="6"/>
  <c r="G74" i="6"/>
  <c r="F32" i="6"/>
  <c r="F35" i="6" s="1"/>
  <c r="F29" i="6"/>
  <c r="F33" i="6"/>
  <c r="H75" i="6"/>
  <c r="F78" i="6"/>
  <c r="F36" i="6" s="1"/>
  <c r="F12" i="7"/>
  <c r="E17" i="7"/>
  <c r="E9" i="5"/>
  <c r="E18" i="7"/>
  <c r="F18" i="7"/>
  <c r="F9" i="5"/>
  <c r="F17" i="7"/>
  <c r="F19" i="7" s="1"/>
  <c r="F8" i="5"/>
  <c r="F10" i="5" s="1"/>
  <c r="E8" i="5"/>
  <c r="E10" i="5" s="1"/>
  <c r="E11" i="7"/>
  <c r="I74" i="6" l="1"/>
  <c r="G78" i="6"/>
  <c r="G29" i="6"/>
  <c r="G36" i="6"/>
  <c r="G32" i="6"/>
  <c r="G35" i="6" s="1"/>
  <c r="G28" i="6"/>
  <c r="F28" i="6"/>
  <c r="F34" i="6"/>
  <c r="F30" i="6"/>
  <c r="F38" i="6"/>
  <c r="F37" i="6"/>
  <c r="E19" i="7"/>
  <c r="E20" i="7"/>
  <c r="C29" i="2" s="1"/>
  <c r="F11" i="7"/>
  <c r="F20" i="7"/>
  <c r="D29" i="2" s="1"/>
  <c r="E12" i="7"/>
  <c r="E13" i="7" s="1"/>
  <c r="C28" i="2" s="1"/>
  <c r="C14" i="2"/>
  <c r="D14" i="2"/>
  <c r="F13" i="7"/>
  <c r="D28" i="2" s="1"/>
  <c r="D27" i="2"/>
  <c r="F40" i="6" l="1"/>
  <c r="G40" i="6"/>
  <c r="G33" i="6"/>
  <c r="G30" i="6"/>
  <c r="D17" i="2" s="1"/>
  <c r="G34" i="6"/>
  <c r="G38" i="6"/>
  <c r="G37" i="6"/>
  <c r="C27" i="2"/>
  <c r="F21" i="7"/>
  <c r="D30" i="2" s="1"/>
  <c r="C19" i="2"/>
  <c r="C20" i="2"/>
  <c r="E21" i="7"/>
  <c r="C30" i="2" s="1"/>
  <c r="F15" i="5"/>
  <c r="F12" i="5"/>
  <c r="D15" i="2"/>
  <c r="C18" i="2"/>
  <c r="C15" i="2"/>
  <c r="C21" i="2"/>
  <c r="D21" i="2"/>
  <c r="C17" i="2"/>
  <c r="D16" i="2"/>
  <c r="C16" i="2"/>
  <c r="F11" i="5"/>
  <c r="F13" i="5" s="1"/>
  <c r="F14" i="5"/>
  <c r="F16" i="5" s="1"/>
  <c r="F42" i="6" l="1"/>
  <c r="G42" i="6"/>
  <c r="D20" i="2"/>
  <c r="D19" i="2"/>
  <c r="D18" i="2"/>
  <c r="E15" i="5"/>
  <c r="E14" i="5"/>
  <c r="E16" i="5" s="1"/>
  <c r="E11" i="5"/>
  <c r="E13" i="5" s="1"/>
  <c r="F5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<sst xmlns="http://schemas.openxmlformats.org/spreadsheetml/2006/main" count="422" uniqueCount="328">
  <si>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</si>
  <si>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</si>
  <si>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</si>
  <si>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</si>
  <si>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</si>
  <si>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</si>
  <si>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</si>
  <si>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</si>
  <si>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</si>
  <si>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</si>
  <si>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</si>
  <si>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</si>
  <si>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</si>
  <si>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</si>
  <si>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</si>
  <si>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</si>
  <si>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</si>
  <si>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</si>
  <si>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</si>
  <si>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</si>
  <si>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</si>
  <si>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</si>
  <si>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</si>
  <si>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</si>
  <si>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</si>
  <si>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</si>
  <si>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</si>
  <si>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</si>
  <si>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</si>
  <si>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</si>
  <si>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</si>
  <si>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</si>
  <si>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</si>
  <si>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</si>
  <si>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</si>
  <si>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</si>
  <si>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 xml:space="preserve">Netikrinama </t>
  </si>
  <si>
    <t xml:space="preserve">Netikrinama 
</t>
  </si>
  <si>
    <t>Is GG expenditure growth limiting rule valid?</t>
  </si>
  <si>
    <t>Not verified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</si>
  <si>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</si>
  <si>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</si>
  <si>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</si>
  <si>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</si>
  <si>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</si>
  <si>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</si>
  <si>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</si>
  <si>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</si>
  <si>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</si>
  <si>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</si>
  <si>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</si>
  <si>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</si>
  <si>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</si>
  <si>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</si>
  <si>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</si>
  <si>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</si>
  <si>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</si>
  <si>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</si>
  <si>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</si>
  <si>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</si>
  <si>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</si>
  <si>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</si>
  <si>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</si>
  <si>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</si>
  <si>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</si>
  <si>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</si>
  <si>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</si>
  <si>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t>t+3</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</si>
  <si>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</si>
  <si>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</si>
  <si>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</si>
  <si>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</si>
  <si>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</si>
  <si>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</si>
  <si>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</si>
  <si>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</si>
  <si>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</si>
  <si>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</si>
  <si>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</si>
  <si>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</si>
  <si>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</si>
  <si>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</si>
  <si>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</si>
  <si>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</si>
  <si>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</si>
  <si>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</si>
  <si>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</si>
  <si>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</si>
  <si>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</si>
  <si>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</si>
  <si>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</si>
  <si>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</si>
  <si>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</si>
  <si>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</si>
  <si>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</si>
  <si>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</si>
  <si>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</si>
  <si>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</si>
  <si>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</si>
  <si>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</si>
  <si>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</si>
  <si>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</si>
  <si>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</si>
  <si>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</si>
  <si>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</si>
  <si>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</si>
  <si>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</si>
  <si>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European Commission, Eurostat, Statistics Lithuania</t>
  </si>
  <si>
    <t>Finansų ministerija (FM)</t>
  </si>
  <si>
    <t>Ministry of Finance (MoF)</t>
  </si>
  <si>
    <t>Valstybės kontrolės, vykdančios fiskalinės institucijos funkcijas, skaičiavimai</t>
  </si>
  <si>
    <t>National Audit Office of Lithuania, implementing the functions of the fiscal institution, calculations</t>
  </si>
  <si>
    <t>ERS – ekonominės raidos scenarijus</t>
  </si>
  <si>
    <t>EDS – economic development scenario</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</si>
  <si>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</si>
  <si>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</si>
  <si>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</si>
  <si>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</si>
  <si>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</si>
  <si>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</si>
  <si>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</si>
  <si>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</si>
  <si>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</si>
  <si>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</si>
  <si>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</si>
  <si>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</si>
  <si>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</si>
  <si>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</si>
  <si>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</si>
  <si>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</si>
  <si>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</si>
  <si>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</si>
  <si>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</si>
  <si>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t>SAF</t>
  </si>
  <si>
    <r>
      <t xml:space="preserve">Konsoliduotos išlaidos VS posektorių, kurių išlaidos &gt; 3 proc. BVP
</t>
    </r>
    <r>
      <rPr>
        <i/>
        <sz val="11"/>
        <rFont val="Arial"/>
        <family val="2"/>
        <charset val="186"/>
      </rPr>
      <t>Consolidated expenditure of GG subsectors with exp. &gt; 3 % of GDP</t>
    </r>
  </si>
  <si>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</si>
  <si>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</si>
  <si>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</si>
  <si>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</si>
  <si>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</si>
  <si>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</si>
  <si>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</si>
  <si>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</si>
  <si>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</si>
  <si>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</si>
  <si>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</si>
  <si>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</si>
  <si>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</si>
  <si>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</si>
  <si>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</si>
  <si>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</si>
  <si>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</si>
  <si>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</si>
  <si>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</si>
  <si>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</si>
  <si>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</si>
  <si>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</si>
  <si>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</si>
  <si>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</si>
  <si>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</si>
  <si>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</si>
  <si>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r>
      <t>S</t>
    </r>
    <r>
      <rPr>
        <vertAlign val="subscript"/>
        <sz val="11"/>
        <color rgb="FF000000"/>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</si>
  <si>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</si>
  <si>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</si>
  <si>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</si>
  <si>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rgb="FF000000"/>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</si>
  <si>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</si>
  <si>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</si>
  <si>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</si>
  <si>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rgb="FF000000"/>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</si>
  <si>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</si>
  <si>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</si>
  <si>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</si>
  <si>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rgb="FF000000"/>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</si>
  <si>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</si>
  <si>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</si>
  <si>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</si>
  <si>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</si>
  <si>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rgb="FF00244D"/>
        <rFont val="Arial"/>
        <family val="2"/>
        <charset val="186"/>
      </rPr>
      <t>1</t>
    </r>
    <r>
      <rPr>
        <b/>
        <sz val="11"/>
        <color rgb="FF00244D"/>
        <rFont val="Arial"/>
        <family val="2"/>
        <charset val="186"/>
      </rPr>
      <t>–S</t>
    </r>
    <r>
      <rPr>
        <b/>
        <vertAlign val="subscript"/>
        <sz val="11"/>
        <color rgb="FF00244D"/>
        <rFont val="Arial"/>
        <family val="2"/>
        <charset val="186"/>
      </rPr>
      <t xml:space="preserve">4 </t>
    </r>
    <r>
      <rPr>
        <b/>
        <sz val="11"/>
        <color rgb="FF00244D"/>
        <rFont val="Arial"/>
        <family val="2"/>
        <charset val="186"/>
      </rPr>
      <t xml:space="preserve">sąlygų </t>
    </r>
  </si>
  <si>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</si>
  <si>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</si>
  <si>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</si>
  <si>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</si>
  <si>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</si>
  <si>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</si>
  <si>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</si>
  <si>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</si>
  <si>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</si>
  <si>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</si>
  <si>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</si>
  <si>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</si>
  <si>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</si>
  <si>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</si>
  <si>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</si>
  <si>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</si>
  <si>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</si>
  <si>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</si>
  <si>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</si>
  <si>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</si>
  <si>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</si>
  <si>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rgb="FF000000"/>
        <rFont val="Arial"/>
        <family val="2"/>
        <charset val="186"/>
      </rPr>
      <t>A</t>
    </r>
    <r>
      <rPr>
        <vertAlign val="subscript"/>
        <sz val="11"/>
        <color rgb="FF000000"/>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</si>
  <si>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</si>
  <si>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</si>
  <si>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rgb="FF000000"/>
        <rFont val="Arial"/>
        <family val="2"/>
        <charset val="186"/>
      </rPr>
      <t>A</t>
    </r>
    <r>
      <rPr>
        <vertAlign val="subscript"/>
        <sz val="11"/>
        <color rgb="FF000000"/>
        <rFont val="Arial"/>
        <family val="2"/>
        <charset val="186"/>
      </rPr>
      <t>2</t>
    </r>
  </si>
  <si>
    <t>Numatomas VS balanso rodiklio postūmis yra teigiamas ir sudaro bent 1,0 procentinį punktą BVP</t>
  </si>
  <si>
    <t>Projected GG sector balance indicator adjustment is positive and makes up at least 1.0 percentage point of GDP</t>
  </si>
  <si>
    <r>
      <rPr>
        <sz val="11"/>
        <color rgb="FF000000"/>
        <rFont val="Arial"/>
        <family val="2"/>
        <charset val="186"/>
      </rPr>
      <t>A</t>
    </r>
    <r>
      <rPr>
        <vertAlign val="subscript"/>
        <sz val="11"/>
        <color rgb="FF000000"/>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</si>
  <si>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</si>
  <si>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</si>
  <si>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rgb="FF000000"/>
        <rFont val="Arial"/>
        <family val="2"/>
        <charset val="186"/>
      </rPr>
      <t>A</t>
    </r>
    <r>
      <rPr>
        <vertAlign val="subscript"/>
        <sz val="11"/>
        <color rgb="FF000000"/>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</si>
  <si>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</si>
  <si>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</si>
  <si>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r>
      <rPr>
        <sz val="11"/>
        <color rgb="FF000000"/>
        <rFont val="Arial"/>
        <family val="2"/>
        <charset val="186"/>
      </rPr>
      <t>A</t>
    </r>
    <r>
      <rPr>
        <vertAlign val="subscript"/>
        <sz val="11"/>
        <color rgb="FF000000"/>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</si>
  <si>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</si>
  <si>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</si>
  <si>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</si>
  <si>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</si>
  <si>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rgb="FF00244D"/>
        <rFont val="Arial"/>
        <family val="2"/>
        <charset val="186"/>
      </rPr>
      <t>1</t>
    </r>
    <r>
      <rPr>
        <b/>
        <sz val="11"/>
        <color rgb="FF00244D"/>
        <rFont val="Arial"/>
        <family val="2"/>
        <charset val="186"/>
      </rPr>
      <t>–A</t>
    </r>
    <r>
      <rPr>
        <b/>
        <vertAlign val="subscript"/>
        <sz val="11"/>
        <color rgb="FF00244D"/>
        <rFont val="Arial"/>
        <family val="2"/>
        <charset val="186"/>
      </rPr>
      <t>5</t>
    </r>
    <r>
      <rPr>
        <b/>
        <sz val="11"/>
        <color rgb="FF00244D"/>
        <rFont val="Arial"/>
        <family val="2"/>
        <charset val="186"/>
      </rPr>
      <t xml:space="preserve"> aplinkybių
</t>
    </r>
  </si>
  <si>
    <t>at year t the GG expenditure growth limiting rule is not applied when at least one of the  A1–A5 escape clauses emerges</t>
  </si>
  <si>
    <r>
      <t xml:space="preserve">Taisyklė
</t>
    </r>
    <r>
      <rPr>
        <i/>
        <sz val="11"/>
        <color rgb="FF000000"/>
        <rFont val="Arial"/>
        <family val="2"/>
        <charset val="186"/>
      </rPr>
      <t>Rule</t>
    </r>
  </si>
  <si>
    <r>
      <t xml:space="preserve">Formulė 
</t>
    </r>
    <r>
      <rPr>
        <i/>
        <sz val="11"/>
        <color rgb="FF000000"/>
        <rFont val="Arial"/>
        <family val="2"/>
        <charset val="186"/>
      </rPr>
      <t>Formula</t>
    </r>
  </si>
  <si>
    <r>
      <t>T</t>
    </r>
    <r>
      <rPr>
        <vertAlign val="subscript"/>
        <sz val="11"/>
        <color rgb="FF000000"/>
        <rFont val="Arial"/>
        <family val="2"/>
        <charset val="186"/>
      </rPr>
      <t>1</t>
    </r>
  </si>
  <si>
    <t>Jei / If</t>
  </si>
  <si>
    <t>* nelygybės ženklas yra griežtas, jei skirtumas tarp lyginamų pusių po apvalinimo sudaro bent 0,1, kitaip ženklas interpretuojamas kaip =
** einamaisiais metais keičiamas VS balansas</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</si>
  <si>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</si>
  <si>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</si>
  <si>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</si>
  <si>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</si>
  <si>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</si>
  <si>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</si>
  <si>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</si>
  <si>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</si>
  <si>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</si>
  <si>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</si>
  <si>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</si>
  <si>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</si>
  <si>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</si>
  <si>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</si>
  <si>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</si>
  <si>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</si>
  <si>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</si>
  <si>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</si>
  <si>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</si>
  <si>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</si>
  <si>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</si>
  <si>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</si>
  <si>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</si>
  <si>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</si>
  <si>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</si>
  <si>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</si>
  <si>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T</t>
    </r>
    <r>
      <rPr>
        <vertAlign val="subscript"/>
        <sz val="11"/>
        <color rgb="FF000000"/>
        <rFont val="Arial"/>
        <family val="2"/>
        <charset val="186"/>
      </rPr>
      <t>31</t>
    </r>
  </si>
  <si>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</si>
  <si>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</si>
  <si>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</si>
  <si>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 xml:space="preserve">Taisyklė savivaldybių (j) asignavimams, kurie viršija 0,3 proc. BVP
</t>
    </r>
    <r>
      <rPr>
        <b/>
        <i/>
        <sz val="11"/>
        <color rgb="FF00244D"/>
        <rFont val="Arial"/>
        <family val="2"/>
        <charset val="186"/>
      </rPr>
      <t>Rule for local governments (j) appropriations of which exceed 0.3 % of GDP</t>
    </r>
  </si>
  <si>
    <r>
      <t>T</t>
    </r>
    <r>
      <rPr>
        <vertAlign val="subscript"/>
        <sz val="11"/>
        <color rgb="FF000000"/>
        <rFont val="Arial"/>
        <family val="2"/>
        <charset val="186"/>
      </rPr>
      <t>32</t>
    </r>
  </si>
  <si>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</si>
  <si>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</si>
  <si>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</si>
  <si>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</si>
  <si>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rgb="FF000000"/>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</si>
  <si>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</si>
  <si>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</si>
  <si>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</si>
  <si>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</si>
  <si>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r>
      <t>Taisyklė</t>
    </r>
    <r>
      <rPr>
        <b/>
        <sz val="11"/>
        <color rgb="FFFF0000"/>
        <rFont val="Arial"/>
        <family val="2"/>
        <charset val="186"/>
      </rPr>
      <t xml:space="preserve"> </t>
    </r>
    <r>
      <rPr>
        <b/>
        <sz val="11"/>
        <color rgb="FF00244D"/>
        <rFont val="Arial"/>
        <family val="2"/>
        <charset val="186"/>
      </rPr>
      <t>VSDF struktūriniam biudžetui</t>
    </r>
  </si>
  <si>
    <t>Rule for VSDF structural budget</t>
  </si>
  <si>
    <r>
      <t>T</t>
    </r>
    <r>
      <rPr>
        <vertAlign val="subscript"/>
        <sz val="11"/>
        <color rgb="FF000000"/>
        <rFont val="Arial"/>
        <family val="2"/>
        <charset val="186"/>
      </rPr>
      <t>5</t>
    </r>
  </si>
  <si>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</si>
  <si>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</si>
  <si>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</si>
  <si>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</si>
  <si>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</si>
  <si>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</si>
  <si>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</si>
  <si>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</si>
  <si>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</si>
  <si>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</si>
  <si>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rgb="FF00244D"/>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</si>
  <si>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rgb="FF00244D"/>
        <rFont val="Arial"/>
        <family val="2"/>
        <charset val="186"/>
      </rPr>
      <t xml:space="preserve"> </t>
    </r>
    <r>
      <rPr>
        <sz val="12"/>
        <color rgb="FF00244D"/>
        <rFont val="Arial"/>
        <family val="2"/>
        <charset val="186"/>
      </rPr>
      <t>SUMMARY</t>
    </r>
  </si>
  <si>
    <t>Nuo 2018 m. sausio 1 d. PSDF biudžetas turi būti planuojamas, tvirtinamas, keičiamas ir vykdomas taip, kad, sprendžiant pagal to biudžeto struktūrinį balanso rodiklį, apskaičiuotą kaupiamuoju principu, jis būtų perteklinis arba subalansuotas</t>
  </si>
  <si>
    <t>t−8</t>
  </si>
  <si>
    <t>t−7</t>
  </si>
  <si>
    <t>t−6</t>
  </si>
  <si>
    <t>t−5</t>
  </si>
  <si>
    <t>t−4</t>
  </si>
  <si>
    <t>t−3</t>
  </si>
  <si>
    <t>* inequality sign is strict, if a difference between both compared sides after rounding is at least 0.1,  else the sign is interpreted as =
** the adjusted aggregate balances of the GG budgets</t>
  </si>
  <si>
    <t>2021 m. pavasario EK projekcijos</t>
  </si>
  <si>
    <t>2021K1-2021K4</t>
  </si>
  <si>
    <t>Savivaldybių biudžetų atitiktis fiskalinės drausmės taisyklėms bus vertinama 2022 m. birželio mėn.</t>
  </si>
  <si>
    <t>Will be assessed in June 2022</t>
  </si>
  <si>
    <t>2022 m. pavasario ERS</t>
  </si>
  <si>
    <t>2021 m. žiemos ERS</t>
  </si>
  <si>
    <t>2021 m. rudens EK projekcijos</t>
  </si>
  <si>
    <t>B(t) =</t>
  </si>
  <si>
    <t>B(t) − B(t–1) ≥ 1</t>
  </si>
  <si>
    <r>
      <t xml:space="preserve">Vidutinė metinė SVKI infliacija
</t>
    </r>
    <r>
      <rPr>
        <i/>
        <sz val="11"/>
        <color rgb="FF000000"/>
        <rFont val="Arial"/>
        <family val="2"/>
        <charset val="186"/>
      </rPr>
      <t>Average annual HICP inflation</t>
    </r>
  </si>
  <si>
    <t xml:space="preserve">ΔSVKI(T)
</t>
  </si>
  <si>
    <r>
      <rPr>
        <sz val="11"/>
        <color rgb="FF000000"/>
        <rFont val="Arial"/>
        <family val="2"/>
        <charset val="186"/>
      </rPr>
      <t>A</t>
    </r>
    <r>
      <rPr>
        <vertAlign val="subscript"/>
        <sz val="11"/>
        <color rgb="FF000000"/>
        <rFont val="Arial"/>
        <family val="2"/>
        <charset val="186"/>
      </rPr>
      <t>2*</t>
    </r>
  </si>
  <si>
    <r>
      <rPr>
        <sz val="11"/>
        <color rgb="FF000000"/>
        <rFont val="Arial"/>
        <family val="2"/>
        <charset val="186"/>
      </rPr>
      <t>A</t>
    </r>
    <r>
      <rPr>
        <vertAlign val="subscript"/>
        <sz val="11"/>
        <color rgb="FF000000"/>
        <rFont val="Arial"/>
        <family val="2"/>
        <charset val="186"/>
      </rPr>
      <t>5*</t>
    </r>
  </si>
  <si>
    <t>A5, o prognozuojama vidutinė metinė infliacija, apskaičiuojama pagal suderintą vartotojų kainų indeksą, neviršija 3 procentų</t>
  </si>
  <si>
    <t>AP(t) &lt; 0 &amp; ΔSVKI(t) ≤ 3</t>
  </si>
  <si>
    <t>ΔSVKI(t) =</t>
  </si>
  <si>
    <t>B(t) − B(t–1) ≥ 1  &amp;
B(t–1)–B(t–2) ≥ 
BP(t–1)–BP(t–2)+0,5</t>
  </si>
  <si>
    <t>Pagal FDĮ panaši į T1 išlaidų ribojimo taisyklė turi būti pritaikyta visam konsoliduotam VS biudžetui (be Europos Sąjungos finansinės paramos lėšų)</t>
  </si>
  <si>
    <r>
      <t>T</t>
    </r>
    <r>
      <rPr>
        <vertAlign val="subscript"/>
        <sz val="11"/>
        <color rgb="FF000000"/>
        <rFont val="Arial"/>
        <family val="2"/>
        <charset val="186"/>
      </rPr>
      <t>2</t>
    </r>
  </si>
  <si>
    <t xml:space="preserve">According to FDL a similar to T1 GG consolidated budget's expenditure growth rule is applied (net of EU financial support) </t>
  </si>
  <si>
    <t>A5, and projected annual inflation, estimated by harmonised index of consumer prices is not greater that 3 %</t>
  </si>
  <si>
    <t>E2, when projected current year GG sector balance indicator positive adjustment is not greater than planned current year GG positive adjustment by more than 0.5 % of GDP at current prices</t>
  </si>
  <si>
    <t>Source: CL Article 3(3), rules denoted by * FDL Articles 2 and 3</t>
  </si>
  <si>
    <t>Šaltinis: KĮ 3 straipsnis 3 dalis, taisyklės pažymėtos * FDĮ 2-3 straipsniai</t>
  </si>
  <si>
    <r>
      <t>A</t>
    </r>
    <r>
      <rPr>
        <vertAlign val="subscript"/>
        <sz val="10"/>
        <rFont val="Arial"/>
        <family val="2"/>
        <charset val="186"/>
      </rPr>
      <t>2</t>
    </r>
    <r>
      <rPr>
        <sz val="10"/>
        <rFont val="Arial"/>
        <family val="2"/>
        <charset val="186"/>
      </rPr>
      <t>, kai numatomas einamųjų metų VS balanso rodiklio teigiamas postūmis nėra mažesnis už suplanuotą einamųjų kalendorinių metų VS balanso rodiklio teigiamą postūmį daugiau kaip 0,5 procentinio punkto BVP to meto kainomis</t>
    </r>
  </si>
  <si>
    <t xml:space="preserve">Metais t rengiant, tvirtinant ir keičiant VS priskiriamų biudžetų, kurių kiekvieno atskirai planuojami asignavimai viršija 3 proc. BVP to meto kainomis (VB,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</si>
  <si>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At year t the preparation, approval and amendment of draft laws or their draft amending laws on approval of the budgets attributable to the GG sector the planned appropriations of each of which exceed 3 % of GDP (state budget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</si>
  <si>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r>
      <t>Valstybės biudžetas, be pervedimų SAF
State budget</t>
    </r>
    <r>
      <rPr>
        <i/>
        <sz val="11"/>
        <rFont val="Arial"/>
        <family val="2"/>
        <charset val="186"/>
      </rPr>
      <t>, net of transfers to SSF</t>
    </r>
  </si>
  <si>
    <t>VB</t>
  </si>
  <si>
    <r>
      <t xml:space="preserve">Socialinės apsaugos fondai, be pervedimų VB
</t>
    </r>
    <r>
      <rPr>
        <i/>
        <sz val="11"/>
        <rFont val="Arial"/>
        <family val="2"/>
        <charset val="186"/>
      </rPr>
      <t>Social Security Funds, net of transfers to SB</t>
    </r>
  </si>
  <si>
    <t>AV3=VB+SAF</t>
  </si>
  <si>
    <t>B(t)** ≥ B(t)</t>
  </si>
  <si>
    <t>B**(t) =</t>
  </si>
  <si>
    <t>2022 m. gegužės 5 d. Nr. BPE–3</t>
  </si>
  <si>
    <t>2022 pavasario ERS duomenys</t>
  </si>
  <si>
    <r>
      <t>1. Fiskalinės drausmės taisyklių laikymosi suve</t>
    </r>
    <r>
      <rPr>
        <b/>
        <i/>
        <sz val="11"/>
        <color rgb="FF00244D"/>
        <rFont val="Arial"/>
        <family val="2"/>
        <charset val="186"/>
      </rPr>
      <t>stinė 2022 m.
Summary of the fulfilment of the fiscal discipline rules in year 2022</t>
    </r>
  </si>
  <si>
    <r>
      <rPr>
        <sz val="11"/>
        <rFont val="Arial"/>
        <family val="2"/>
        <charset val="186"/>
      </rPr>
      <t xml:space="preserve">2022 Projekcijos </t>
    </r>
    <r>
      <rPr>
        <i/>
        <sz val="11"/>
        <rFont val="Arial"/>
        <family val="2"/>
        <charset val="186"/>
      </rPr>
      <t xml:space="preserve">/ </t>
    </r>
    <r>
      <rPr>
        <sz val="11"/>
        <rFont val="Arial"/>
        <family val="2"/>
        <charset val="186"/>
      </rPr>
      <t>Projections</t>
    </r>
  </si>
  <si>
    <r>
      <t xml:space="preserve">5. VS išlaidų augimo ribojimo taisyklė
</t>
    </r>
    <r>
      <rPr>
        <b/>
        <i/>
        <sz val="11"/>
        <color rgb="FF00244D"/>
        <rFont val="Arial"/>
        <family val="2"/>
        <charset val="186"/>
      </rPr>
      <t>GG expenditure growth limiting rule</t>
    </r>
  </si>
  <si>
    <r>
      <t xml:space="preserve">6. VS priskiriamų biudžetų taisyklės
</t>
    </r>
    <r>
      <rPr>
        <b/>
        <i/>
        <sz val="11"/>
        <color rgb="FF00244D"/>
        <rFont val="Arial"/>
        <family val="2"/>
        <charset val="186"/>
      </rPr>
      <t>Rules for the budgets attributable to GG sector</t>
    </r>
  </si>
  <si>
    <r>
      <t xml:space="preserve">4. Perteklinio VS taisyklės sąlygos
</t>
    </r>
    <r>
      <rPr>
        <b/>
        <i/>
        <sz val="11"/>
        <color rgb="FF00244D"/>
        <rFont val="Arial"/>
        <family val="2"/>
        <charset val="186"/>
      </rPr>
      <t>Conditions of the surplus GG sector rule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</si>
</sst>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s>
  <fonts count="52"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8"/>
      <name val="Arial"/>
      <family val="2"/>
      <charset val="186"/>
    </font>
    <font>
      <sz val="10"/>
      <name val="Arial Baltic"/>
      <charset val="186"/>
    </font>
    <font>
      <b/>
      <sz val="9"/>
      <name val="Arial"/>
      <family val="2"/>
      <charset val="186"/>
    </font>
    <font>
      <sz val="8"/>
      <color rgb="FFFF0000"/>
      <name val="Arial"/>
      <family val="2"/>
      <charset val="186"/>
    </font>
    <font>
      <sz val="11"/>
      <color rgb="FF000000"/>
      <name val="Calibri"/>
      <family val="2"/>
      <charset val="186"/>
    </font>
    <font>
      <b/>
      <vertAlign val="subscript"/>
      <sz val="11"/>
      <color rgb="FF00244D"/>
      <name val="Arial"/>
      <family val="2"/>
      <charset val="186"/>
    </font>
    <font>
      <sz val="10"/>
      <color rgb="FF00244D"/>
      <name val="Arial"/>
      <family val="2"/>
      <charset val="186"/>
    </font>
    <font>
      <b/>
      <sz val="11"/>
      <color rgb="FFFF0000"/>
      <name val="Arial"/>
      <family val="2"/>
      <charset val="186"/>
    </font>
    <font>
      <sz val="11"/>
      <name val="Calibri Light"/>
      <family val="2"/>
      <charset val="186"/>
      <scheme val="major"/>
    </font>
    <font>
      <b/>
      <i/>
      <sz val="11"/>
      <color rgb="FF00244D"/>
      <name val="Arial"/>
      <family val="2"/>
      <charset val="186"/>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2"/>
      <color rgb="FF00244D"/>
      <name val="Arial"/>
      <family val="2"/>
      <charset val="186"/>
    </font>
    <font>
      <sz val="11"/>
      <color rgb="FF535141"/>
      <name val="Arial"/>
      <family val="2"/>
      <charset val="186"/>
    </font>
    <font>
      <sz val="14"/>
      <color rgb="FF535141"/>
      <name val="Arial"/>
      <family val="2"/>
      <charset val="186"/>
    </font>
    <font>
      <i/>
      <sz val="11"/>
      <color rgb="FF00244D"/>
      <name val="Arial"/>
      <family val="2"/>
      <charset val="186"/>
    </font>
    <font>
      <i/>
      <sz val="12"/>
      <color rgb="FF00244D"/>
      <name val="Arial"/>
      <family val="2"/>
      <charset val="186"/>
    </font>
    <font>
      <sz val="14"/>
      <color rgb="FF00244D"/>
      <name val="Arial"/>
      <family val="2"/>
      <charset val="186"/>
    </font>
    <font>
      <i/>
      <u/>
      <sz val="11"/>
      <color rgb="FF00244D"/>
      <name val="Arial"/>
      <family val="2"/>
      <charset val="186"/>
    </font>
    <font>
      <sz val="11"/>
      <color theme="4"/>
      <name val="Arial"/>
      <family val="2"/>
      <charset val="186"/>
    </font>
    <font>
      <sz val="11"/>
      <color theme="1"/>
      <name val="Calibri"/>
      <family val="2"/>
      <scheme val="minor"/>
    </font>
    <font>
      <sz val="11"/>
      <name val="Arial"/>
      <charset val="238"/>
    </font>
    <font>
      <sz val="10"/>
      <color rgb="FF000000"/>
      <name val="Arial"/>
      <family val="2"/>
      <charset val="186"/>
    </font>
    <font>
      <i/>
      <sz val="10"/>
      <color rgb="FF000000"/>
      <name val="Arial"/>
      <family val="2"/>
      <charset val="186"/>
    </font>
    <font>
      <i/>
      <sz val="10"/>
      <name val="Arial"/>
      <family val="2"/>
      <charset val="186"/>
    </font>
    <font>
      <vertAlign val="subscript"/>
      <sz val="10"/>
      <name val="Arial"/>
      <family val="2"/>
      <charset val="186"/>
    </font>
  </fonts>
  <fills count="11">
    <fill>
      <patternFill patternType="none"/>
    </fill>
    <fill>
      <patternFill patternType="gray125"/>
    </fill>
    <fill>
      <patternFill patternType="solid">
        <fgColor rgb="FFC9D6D9"/>
        <bgColor indexed="64"/>
      </patternFill>
    </fill>
    <fill>
      <patternFill patternType="solid">
        <fgColor rgb="FFC9D6D9"/>
        <bgColor rgb="FF000000"/>
      </patternFill>
    </fill>
    <fill>
      <patternFill patternType="solid">
        <fgColor rgb="FFD1D1D1"/>
        <bgColor rgb="FF000000"/>
      </patternFill>
    </fill>
    <fill>
      <patternFill patternType="solid">
        <fgColor rgb="FFB5DDF0"/>
        <bgColor rgb="FF000000"/>
      </patternFill>
    </fill>
    <fill>
      <patternFill patternType="solid">
        <fgColor rgb="FFF39EA0"/>
        <bgColor rgb="FF000000"/>
      </patternFill>
    </fill>
    <fill>
      <patternFill patternType="solid">
        <fgColor rgb="FFFFFFFF"/>
        <bgColor rgb="FF000000"/>
      </patternFill>
    </fill>
    <fill>
      <patternFill patternType="solid">
        <fgColor theme="0"/>
        <bgColor indexed="64"/>
      </patternFill>
    </fill>
    <fill>
      <patternFill patternType="solid">
        <fgColor rgb="FF00244D"/>
        <bgColor indexed="64"/>
      </patternFill>
    </fill>
    <fill>
      <patternFill patternType="solid">
        <fgColor rgb="FFB5DDF0"/>
        <bgColor indexed="64"/>
      </patternFill>
    </fill>
  </fills>
  <borders count="51">
    <border>
      <left/>
      <right/>
      <top/>
      <bottom/>
      <diagonal/>
    </border>
    <border>
      <left style="medium">
        <color rgb="FF00244D"/>
      </left>
      <right style="medium">
        <color rgb="FF00244D"/>
      </right>
      <top style="medium">
        <color rgb="FF00244D"/>
      </top>
      <bottom style="medium">
        <color rgb="FF00244D"/>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style="thick">
        <color rgb="FF00244D"/>
      </left>
      <right style="medium">
        <color rgb="FF00244D"/>
      </right>
      <top style="thick">
        <color rgb="FF00244D"/>
      </top>
      <bottom style="medium">
        <color rgb="FF00244D"/>
      </bottom>
      <diagonal/>
    </border>
    <border>
      <left style="medium">
        <color rgb="FF00244D"/>
      </left>
      <right style="medium">
        <color rgb="FF00244D"/>
      </right>
      <top style="thick">
        <color rgb="FF00244D"/>
      </top>
      <bottom style="medium">
        <color rgb="FF00244D"/>
      </bottom>
      <diagonal/>
    </border>
    <border>
      <left style="medium">
        <color rgb="FF00244D"/>
      </left>
      <right style="thick">
        <color rgb="FF00244D"/>
      </right>
      <top style="thick">
        <color rgb="FF00244D"/>
      </top>
      <bottom style="medium">
        <color rgb="FF00244D"/>
      </bottom>
      <diagonal/>
    </border>
    <border>
      <left style="thick">
        <color rgb="FF00244D"/>
      </left>
      <right style="medium">
        <color rgb="FF00244D"/>
      </right>
      <top style="medium">
        <color rgb="FF00244D"/>
      </top>
      <bottom style="medium">
        <color rgb="FF00244D"/>
      </bottom>
      <diagonal/>
    </border>
    <border>
      <left style="medium">
        <color rgb="FF00244D"/>
      </left>
      <right style="thick">
        <color rgb="FF00244D"/>
      </right>
      <top style="medium">
        <color rgb="FF00244D"/>
      </top>
      <bottom style="medium">
        <color rgb="FF00244D"/>
      </bottom>
      <diagonal/>
    </border>
    <border>
      <left style="medium">
        <color rgb="FF00244D"/>
      </left>
      <right style="medium">
        <color rgb="FF00244D"/>
      </right>
      <top style="medium">
        <color rgb="FF00244D"/>
      </top>
      <bottom/>
      <diagonal/>
    </border>
    <border>
      <left style="medium">
        <color rgb="FF00244D"/>
      </left>
      <right style="thick">
        <color rgb="FF00244D"/>
      </right>
      <top style="medium">
        <color rgb="FF00244D"/>
      </top>
      <bottom/>
      <diagonal/>
    </border>
    <border>
      <left style="medium">
        <color rgb="FF00244D"/>
      </left>
      <right style="medium">
        <color rgb="FF00244D"/>
      </right>
      <top/>
      <bottom style="medium">
        <color rgb="FF00244D"/>
      </bottom>
      <diagonal/>
    </border>
    <border>
      <left style="medium">
        <color rgb="FF00244D"/>
      </left>
      <right style="thick">
        <color rgb="FF00244D"/>
      </right>
      <top/>
      <bottom style="medium">
        <color rgb="FF00244D"/>
      </bottom>
      <diagonal/>
    </border>
    <border>
      <left style="thick">
        <color rgb="FF00244D"/>
      </left>
      <right style="medium">
        <color rgb="FF00244D"/>
      </right>
      <top style="medium">
        <color rgb="FF00244D"/>
      </top>
      <bottom/>
      <diagonal/>
    </border>
    <border>
      <left style="thick">
        <color rgb="FF00244D"/>
      </left>
      <right style="medium">
        <color rgb="FF00244D"/>
      </right>
      <top/>
      <bottom style="medium">
        <color rgb="FF00244D"/>
      </bottom>
      <diagonal/>
    </border>
    <border>
      <left style="thick">
        <color rgb="FF00244D"/>
      </left>
      <right style="medium">
        <color rgb="FF00244D"/>
      </right>
      <top style="medium">
        <color rgb="FF00244D"/>
      </top>
      <bottom style="thick">
        <color rgb="FF00244D"/>
      </bottom>
      <diagonal/>
    </border>
    <border>
      <left style="medium">
        <color rgb="FF00244D"/>
      </left>
      <right/>
      <top style="medium">
        <color rgb="FF00244D"/>
      </top>
      <bottom style="medium">
        <color rgb="FF00244D"/>
      </bottom>
      <diagonal/>
    </border>
    <border>
      <left/>
      <right style="medium">
        <color rgb="FF00244D"/>
      </right>
      <top style="medium">
        <color rgb="FF00244D"/>
      </top>
      <bottom style="medium">
        <color rgb="FF00244D"/>
      </bottom>
      <diagonal/>
    </border>
    <border>
      <left/>
      <right/>
      <top style="medium">
        <color indexed="64"/>
      </top>
      <bottom style="medium">
        <color rgb="FF00244D"/>
      </bottom>
      <diagonal/>
    </border>
    <border>
      <left/>
      <right/>
      <top style="medium">
        <color rgb="FF00244D"/>
      </top>
      <bottom style="medium">
        <color rgb="FF00244D"/>
      </bottom>
      <diagonal/>
    </border>
    <border>
      <left style="medium">
        <color rgb="FF00244D"/>
      </left>
      <right style="medium">
        <color rgb="FF00244D"/>
      </right>
      <top/>
      <bottom style="thick">
        <color rgb="FF00244D"/>
      </bottom>
      <diagonal/>
    </border>
    <border>
      <left style="medium">
        <color rgb="FF00244D"/>
      </left>
      <right style="thick">
        <color rgb="FF00244D"/>
      </right>
      <top/>
      <bottom style="thick">
        <color rgb="FF00244D"/>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rgb="FF00244D"/>
      </left>
      <right style="medium">
        <color rgb="FF8D8473"/>
      </right>
      <top style="medium">
        <color rgb="FF00244D"/>
      </top>
      <bottom style="medium">
        <color rgb="FF00244D"/>
      </bottom>
      <diagonal/>
    </border>
    <border>
      <left style="medium">
        <color rgb="FF8D8473"/>
      </left>
      <right style="medium">
        <color rgb="FF00244D"/>
      </right>
      <top style="medium">
        <color rgb="FF00244D"/>
      </top>
      <bottom style="medium">
        <color rgb="FF00244D"/>
      </bottom>
      <diagonal/>
    </border>
    <border>
      <left/>
      <right style="thick">
        <color rgb="FF00244D"/>
      </right>
      <top style="medium">
        <color rgb="FF00244D"/>
      </top>
      <bottom style="medium">
        <color rgb="FF00244D"/>
      </bottom>
      <diagonal/>
    </border>
    <border>
      <left style="medium">
        <color rgb="FF00244D"/>
      </left>
      <right style="medium">
        <color rgb="FF00244D"/>
      </right>
      <top/>
      <bottom/>
      <diagonal/>
    </border>
    <border>
      <left style="thick">
        <color rgb="FF00244D"/>
      </left>
      <right style="medium">
        <color rgb="FF00244D"/>
      </right>
      <top/>
      <bottom/>
      <diagonal/>
    </border>
    <border>
      <left style="medium">
        <color rgb="FF00244D"/>
      </left>
      <right style="thick">
        <color rgb="FF00244D"/>
      </right>
      <top/>
      <bottom/>
      <diagonal/>
    </border>
    <border>
      <left/>
      <right style="thick">
        <color rgb="FF00244D"/>
      </right>
      <top style="medium">
        <color rgb="FF00244D"/>
      </top>
      <bottom/>
      <diagonal/>
    </border>
    <border>
      <left/>
      <right style="thick">
        <color rgb="FF00244D"/>
      </right>
      <top/>
      <bottom/>
      <diagonal/>
    </border>
    <border>
      <left/>
      <right style="thick">
        <color rgb="FF00244D"/>
      </right>
      <top/>
      <bottom style="medium">
        <color rgb="FF00244D"/>
      </bottom>
      <diagonal/>
    </border>
    <border>
      <left style="thick">
        <color rgb="FF00244D"/>
      </left>
      <right style="medium">
        <color rgb="FF00244D"/>
      </right>
      <top/>
      <bottom style="thick">
        <color rgb="FF00244D"/>
      </bottom>
      <diagonal/>
    </border>
    <border>
      <left style="medium">
        <color rgb="FF00244D"/>
      </left>
      <right/>
      <top/>
      <bottom style="thick">
        <color rgb="FF00244D"/>
      </bottom>
      <diagonal/>
    </border>
    <border>
      <left/>
      <right/>
      <top/>
      <bottom style="thin">
        <color rgb="FF00244D"/>
      </bottom>
      <diagonal/>
    </border>
    <border>
      <left/>
      <right/>
      <top style="thick">
        <color rgb="FF00244D"/>
      </top>
      <bottom/>
      <diagonal/>
    </border>
    <border>
      <left style="medium">
        <color indexed="64"/>
      </left>
      <right/>
      <top style="medium">
        <color indexed="64"/>
      </top>
      <bottom style="medium">
        <color rgb="FF00244D"/>
      </bottom>
      <diagonal/>
    </border>
    <border>
      <left/>
      <right style="medium">
        <color indexed="64"/>
      </right>
      <top style="medium">
        <color indexed="64"/>
      </top>
      <bottom style="medium">
        <color rgb="FF00244D"/>
      </bottom>
      <diagonal/>
    </border>
    <border>
      <left style="thick">
        <color rgb="FF00244D"/>
      </left>
      <right/>
      <top style="medium">
        <color rgb="FF00244D"/>
      </top>
      <bottom style="medium">
        <color rgb="FF00244D"/>
      </bottom>
      <diagonal/>
    </border>
    <border>
      <left style="medium">
        <color indexed="64"/>
      </left>
      <right/>
      <top style="medium">
        <color rgb="FF00244D"/>
      </top>
      <bottom style="medium">
        <color indexed="64"/>
      </bottom>
      <diagonal/>
    </border>
    <border>
      <left/>
      <right style="medium">
        <color indexed="64"/>
      </right>
      <top style="medium">
        <color rgb="FF00244D"/>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21" fillId="0" borderId="0"/>
    <xf numFmtId="0" fontId="46" fillId="0" borderId="0"/>
    <xf numFmtId="0" fontId="47" fillId="0" borderId="0"/>
  </cellStyleXfs>
  <cellXfs count="487">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8" fillId="0" borderId="13" xfId="0" applyFont="1" applyFill="1" applyBorder="1" applyAlignment="1">
      <alignment horizontal="right" wrapText="1" indent="1"/>
    </xf>
    <xf numFmtId="0" fontId="8" fillId="5" borderId="14" xfId="0" applyFont="1" applyFill="1" applyBorder="1" applyAlignment="1">
      <alignment horizontal="center" vertical="center"/>
    </xf>
    <xf numFmtId="0" fontId="3" fillId="4" borderId="15"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1" xfId="0" applyFont="1" applyFill="1" applyBorder="1" applyAlignment="1">
      <alignment horizontal="center" vertical="center"/>
    </xf>
    <xf numFmtId="164"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indent="1"/>
    </xf>
    <xf numFmtId="164" fontId="8" fillId="7" borderId="1" xfId="0" applyNumberFormat="1" applyFont="1" applyFill="1" applyBorder="1" applyAlignment="1">
      <alignment horizontal="right" vertical="center" indent="1"/>
    </xf>
    <xf numFmtId="164" fontId="8" fillId="0" borderId="1" xfId="0" applyNumberFormat="1" applyFont="1" applyFill="1" applyBorder="1" applyAlignment="1">
      <alignment horizontal="right" vertical="center" indent="1"/>
    </xf>
    <xf numFmtId="164" fontId="3" fillId="7" borderId="1" xfId="0" applyNumberFormat="1" applyFont="1" applyFill="1" applyBorder="1" applyAlignment="1">
      <alignment horizontal="right" vertical="center" indent="1"/>
    </xf>
    <xf numFmtId="164" fontId="8" fillId="5" borderId="1" xfId="0" applyNumberFormat="1" applyFont="1" applyFill="1" applyBorder="1" applyAlignment="1">
      <alignment horizontal="right" vertical="center" indent="1"/>
    </xf>
    <xf numFmtId="164" fontId="8" fillId="4" borderId="1" xfId="0" applyNumberFormat="1" applyFont="1" applyFill="1" applyBorder="1" applyAlignment="1">
      <alignment horizontal="right" vertical="center" indent="1"/>
    </xf>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168" fontId="8" fillId="6" borderId="1" xfId="0" applyNumberFormat="1" applyFont="1" applyFill="1" applyBorder="1" applyAlignment="1">
      <alignment horizontal="right" vertical="center" indent="1"/>
    </xf>
    <xf numFmtId="164" fontId="16" fillId="7" borderId="1" xfId="0" applyNumberFormat="1" applyFont="1" applyFill="1" applyBorder="1" applyAlignment="1">
      <alignment horizontal="right" vertical="center" indent="1"/>
    </xf>
    <xf numFmtId="0" fontId="18" fillId="0" borderId="0" xfId="0" applyFont="1" applyFill="1" applyBorder="1"/>
    <xf numFmtId="0" fontId="3" fillId="6" borderId="1" xfId="0" applyFont="1" applyFill="1" applyBorder="1"/>
    <xf numFmtId="0" fontId="3" fillId="4" borderId="1" xfId="0" applyFont="1" applyFill="1" applyBorder="1"/>
    <xf numFmtId="0" fontId="3" fillId="5" borderId="1" xfId="0" applyFont="1" applyFill="1" applyBorder="1"/>
    <xf numFmtId="0" fontId="19" fillId="0" borderId="0" xfId="0" applyFont="1" applyFill="1" applyBorder="1" applyAlignment="1">
      <alignment horizontal="right" indent="1"/>
    </xf>
    <xf numFmtId="0" fontId="3" fillId="0" borderId="1" xfId="0" applyFont="1" applyFill="1" applyBorder="1"/>
    <xf numFmtId="166" fontId="20" fillId="0" borderId="0" xfId="0" applyNumberFormat="1" applyFont="1" applyFill="1" applyBorder="1" applyAlignment="1">
      <alignment horizontal="center"/>
    </xf>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64" fontId="8" fillId="0" borderId="1" xfId="0" applyNumberFormat="1" applyFont="1" applyFill="1" applyBorder="1" applyAlignment="1">
      <alignment horizontal="right" vertical="center" wrapText="1" indent="1"/>
    </xf>
    <xf numFmtId="170" fontId="22" fillId="0" borderId="0" xfId="4" applyNumberFormat="1" applyFont="1" applyFill="1" applyBorder="1" applyAlignment="1">
      <alignment horizontal="right"/>
    </xf>
    <xf numFmtId="0" fontId="3" fillId="0" borderId="0" xfId="0" applyFont="1" applyFill="1" applyBorder="1" applyAlignment="1">
      <alignment vertical="center"/>
    </xf>
    <xf numFmtId="0" fontId="7" fillId="7"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7" borderId="0" xfId="0" applyFont="1" applyFill="1" applyBorder="1"/>
    <xf numFmtId="2" fontId="3" fillId="0" borderId="0" xfId="0" applyNumberFormat="1" applyFont="1" applyFill="1" applyBorder="1"/>
    <xf numFmtId="169" fontId="3" fillId="5" borderId="16" xfId="0" applyNumberFormat="1" applyFont="1" applyFill="1" applyBorder="1" applyAlignment="1">
      <alignment horizontal="center" vertical="center"/>
    </xf>
    <xf numFmtId="171" fontId="3" fillId="0" borderId="0" xfId="0" applyNumberFormat="1" applyFont="1" applyFill="1" applyBorder="1"/>
    <xf numFmtId="0" fontId="23" fillId="0" borderId="0" xfId="0" applyFont="1" applyFill="1" applyBorder="1"/>
    <xf numFmtId="0" fontId="24" fillId="0" borderId="0" xfId="0" applyFont="1" applyFill="1" applyBorder="1" applyAlignment="1">
      <alignment vertical="center"/>
    </xf>
    <xf numFmtId="0" fontId="6" fillId="4"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4" borderId="26" xfId="0" applyFont="1" applyFill="1" applyBorder="1" applyAlignment="1">
      <alignment horizontal="center" vertical="center" wrapText="1"/>
    </xf>
    <xf numFmtId="0" fontId="26" fillId="0" borderId="0" xfId="0" applyFont="1" applyFill="1" applyBorder="1"/>
    <xf numFmtId="0" fontId="3" fillId="0" borderId="0" xfId="0" applyFont="1" applyFill="1" applyBorder="1" applyAlignment="1">
      <alignment horizontal="right"/>
    </xf>
    <xf numFmtId="0" fontId="3" fillId="0" borderId="0" xfId="0" quotePrefix="1" applyFont="1" applyFill="1" applyBorder="1" applyAlignment="1">
      <alignment horizontal="right"/>
    </xf>
    <xf numFmtId="173" fontId="8" fillId="4" borderId="1" xfId="0" applyNumberFormat="1" applyFont="1" applyFill="1" applyBorder="1" applyAlignment="1">
      <alignment horizontal="center"/>
    </xf>
    <xf numFmtId="173" fontId="8" fillId="5" borderId="1" xfId="0" applyNumberFormat="1" applyFont="1" applyFill="1" applyBorder="1" applyAlignment="1">
      <alignment horizontal="center"/>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4"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8" fillId="4" borderId="15" xfId="0" applyNumberFormat="1" applyFont="1" applyFill="1" applyBorder="1" applyAlignment="1">
      <alignment horizontal="center" vertical="center" wrapText="1"/>
    </xf>
    <xf numFmtId="1" fontId="8" fillId="5" borderId="16" xfId="0" applyNumberFormat="1" applyFont="1" applyFill="1" applyBorder="1" applyAlignment="1">
      <alignment horizontal="center" vertical="center" wrapText="1"/>
    </xf>
    <xf numFmtId="1" fontId="3" fillId="0" borderId="0" xfId="0" applyNumberFormat="1" applyFont="1" applyFill="1" applyBorder="1"/>
    <xf numFmtId="0" fontId="3" fillId="4" borderId="15" xfId="0" applyFont="1" applyFill="1" applyBorder="1" applyAlignment="1">
      <alignment horizontal="center" vertical="center"/>
    </xf>
    <xf numFmtId="0" fontId="8" fillId="5" borderId="16" xfId="0" applyFont="1" applyFill="1" applyBorder="1" applyAlignment="1">
      <alignment horizontal="center" vertical="center"/>
    </xf>
    <xf numFmtId="169" fontId="16" fillId="0" borderId="0" xfId="0" applyNumberFormat="1" applyFont="1" applyFill="1" applyBorder="1"/>
    <xf numFmtId="164" fontId="3" fillId="4" borderId="1" xfId="0" applyNumberFormat="1" applyFont="1" applyFill="1" applyBorder="1" applyAlignment="1">
      <alignment horizontal="center"/>
    </xf>
    <xf numFmtId="164" fontId="3" fillId="5" borderId="1" xfId="0" applyNumberFormat="1" applyFont="1" applyFill="1" applyBorder="1" applyAlignment="1">
      <alignment horizontal="center"/>
    </xf>
    <xf numFmtId="0" fontId="16" fillId="0" borderId="0" xfId="0" applyFont="1" applyFill="1" applyBorder="1" applyAlignment="1">
      <alignment horizontal="right"/>
    </xf>
    <xf numFmtId="164" fontId="8" fillId="5" borderId="1" xfId="0" applyNumberFormat="1" applyFont="1" applyFill="1" applyBorder="1" applyAlignment="1">
      <alignment horizontal="center"/>
    </xf>
    <xf numFmtId="0" fontId="8" fillId="0" borderId="0" xfId="0" applyFont="1" applyFill="1" applyBorder="1" applyAlignment="1">
      <alignment horizontal="right"/>
    </xf>
    <xf numFmtId="0" fontId="8" fillId="0" borderId="0" xfId="0" applyFont="1" applyFill="1" applyBorder="1" applyAlignment="1">
      <alignment horizontal="right" wrapText="1"/>
    </xf>
    <xf numFmtId="164" fontId="3" fillId="0" borderId="28" xfId="0" applyNumberFormat="1" applyFont="1" applyFill="1" applyBorder="1" applyAlignment="1">
      <alignment horizontal="center"/>
    </xf>
    <xf numFmtId="164" fontId="3" fillId="0" borderId="30" xfId="0" applyNumberFormat="1" applyFont="1" applyFill="1" applyBorder="1" applyAlignment="1">
      <alignment horizontal="center"/>
    </xf>
    <xf numFmtId="164" fontId="3" fillId="0" borderId="31" xfId="0" applyNumberFormat="1" applyFont="1" applyFill="1" applyBorder="1" applyAlignment="1">
      <alignment horizontal="center"/>
    </xf>
    <xf numFmtId="0" fontId="6" fillId="4" borderId="1" xfId="0" applyFont="1" applyFill="1" applyBorder="1" applyAlignment="1">
      <alignment horizontal="center" vertical="center" wrapText="1"/>
    </xf>
    <xf numFmtId="166" fontId="8" fillId="4" borderId="1" xfId="0" applyNumberFormat="1" applyFont="1" applyFill="1" applyBorder="1" applyAlignment="1">
      <alignment horizontal="center"/>
    </xf>
    <xf numFmtId="166" fontId="8" fillId="5" borderId="1" xfId="0" applyNumberFormat="1" applyFont="1" applyFill="1" applyBorder="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left" wrapText="1"/>
    </xf>
    <xf numFmtId="0" fontId="8" fillId="4" borderId="15" xfId="0" applyFont="1" applyFill="1" applyBorder="1" applyAlignment="1">
      <alignment horizontal="center" vertical="center" wrapText="1"/>
    </xf>
    <xf numFmtId="0" fontId="3" fillId="0" borderId="13" xfId="0" applyFont="1" applyFill="1" applyBorder="1" applyAlignment="1">
      <alignment horizontal="center" wrapText="1"/>
    </xf>
    <xf numFmtId="0" fontId="8" fillId="4" borderId="22" xfId="0" applyFont="1" applyFill="1" applyBorder="1" applyAlignment="1">
      <alignment horizontal="center" vertical="center" wrapText="1"/>
    </xf>
    <xf numFmtId="0" fontId="3" fillId="5" borderId="38" xfId="0" applyFont="1" applyFill="1" applyBorder="1" applyAlignment="1">
      <alignment horizontal="center" vertical="top" wrapText="1"/>
    </xf>
    <xf numFmtId="0" fontId="3" fillId="4" borderId="35" xfId="0" applyFont="1" applyFill="1" applyBorder="1" applyAlignment="1">
      <alignment horizontal="center" wrapText="1"/>
    </xf>
    <xf numFmtId="0" fontId="31" fillId="4" borderId="1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8" fillId="0" borderId="22" xfId="0" applyNumberFormat="1" applyFont="1" applyFill="1" applyBorder="1" applyAlignment="1">
      <alignment vertical="center"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164" fontId="8" fillId="4" borderId="22" xfId="0" applyNumberFormat="1" applyFont="1" applyFill="1" applyBorder="1" applyAlignment="1">
      <alignment vertical="center"/>
    </xf>
    <xf numFmtId="164" fontId="8" fillId="4" borderId="23" xfId="0" applyNumberFormat="1" applyFont="1" applyFill="1" applyBorder="1" applyAlignment="1">
      <alignment vertical="center" wrapText="1"/>
    </xf>
    <xf numFmtId="1" fontId="3" fillId="4" borderId="35" xfId="0" applyNumberFormat="1" applyFont="1" applyFill="1" applyBorder="1" applyAlignment="1">
      <alignment horizontal="center" vertical="center" wrapText="1"/>
    </xf>
    <xf numFmtId="0" fontId="6" fillId="5" borderId="37" xfId="0" applyFont="1" applyFill="1" applyBorder="1" applyAlignment="1">
      <alignment horizontal="center" vertical="center" wrapText="1"/>
    </xf>
    <xf numFmtId="0" fontId="29" fillId="5" borderId="37" xfId="0" applyFont="1" applyFill="1" applyBorder="1" applyAlignment="1">
      <alignment horizontal="center" vertical="center" wrapText="1"/>
    </xf>
    <xf numFmtId="169" fontId="3" fillId="5" borderId="37" xfId="0" applyNumberFormat="1" applyFont="1" applyFill="1" applyBorder="1" applyAlignment="1">
      <alignment horizontal="center" vertical="center"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2" fillId="0" borderId="0" xfId="0" applyFont="1" applyFill="1" applyBorder="1"/>
    <xf numFmtId="0" fontId="3" fillId="0" borderId="1" xfId="0" applyFont="1" applyFill="1" applyBorder="1" applyAlignment="1">
      <alignment horizontal="left" vertical="center" wrapText="1"/>
    </xf>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164" fontId="8" fillId="0" borderId="1" xfId="0" applyNumberFormat="1" applyFont="1" applyFill="1" applyBorder="1" applyAlignment="1">
      <alignment vertical="center" wrapText="1"/>
    </xf>
    <xf numFmtId="0" fontId="8" fillId="0" borderId="22" xfId="0" applyFont="1" applyFill="1" applyBorder="1" applyAlignment="1">
      <alignment vertical="center"/>
    </xf>
    <xf numFmtId="0" fontId="26" fillId="0" borderId="0" xfId="0" applyFont="1" applyFill="1" applyBorder="1" applyAlignment="1">
      <alignment wrapText="1"/>
    </xf>
    <xf numFmtId="0" fontId="26" fillId="0" borderId="44" xfId="0" applyFont="1" applyFill="1" applyBorder="1" applyAlignment="1">
      <alignment wrapText="1"/>
    </xf>
    <xf numFmtId="0" fontId="26" fillId="0" borderId="0" xfId="0" applyFont="1" applyFill="1" applyBorder="1" applyAlignment="1">
      <alignment vertical="top" wrapText="1"/>
    </xf>
    <xf numFmtId="1" fontId="30" fillId="5" borderId="18" xfId="0" applyNumberFormat="1" applyFont="1" applyFill="1" applyBorder="1" applyAlignment="1">
      <alignment horizontal="center" vertical="center" wrapText="1"/>
    </xf>
    <xf numFmtId="0" fontId="29"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169" fontId="6" fillId="5" borderId="16" xfId="0" applyNumberFormat="1" applyFont="1" applyFill="1" applyBorder="1" applyAlignment="1">
      <alignment horizontal="center" vertical="center"/>
    </xf>
    <xf numFmtId="169" fontId="29" fillId="5" borderId="18" xfId="0" applyNumberFormat="1" applyFont="1" applyFill="1" applyBorder="1" applyAlignment="1">
      <alignment horizontal="center" vertical="center"/>
    </xf>
    <xf numFmtId="0" fontId="6" fillId="4" borderId="15" xfId="0" applyFont="1" applyFill="1" applyBorder="1" applyAlignment="1">
      <alignment horizontal="center" vertical="center" wrapText="1"/>
    </xf>
    <xf numFmtId="169" fontId="6" fillId="5" borderId="27" xfId="0" applyNumberFormat="1" applyFont="1" applyFill="1" applyBorder="1" applyAlignment="1">
      <alignment horizontal="center" vertical="center"/>
    </xf>
    <xf numFmtId="1" fontId="3" fillId="5" borderId="37" xfId="0" applyNumberFormat="1" applyFont="1" applyFill="1" applyBorder="1" applyAlignment="1">
      <alignment horizontal="center" vertical="center" wrapText="1"/>
    </xf>
    <xf numFmtId="0" fontId="29" fillId="4"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169" fontId="30" fillId="5" borderId="18" xfId="0" applyNumberFormat="1" applyFont="1" applyFill="1" applyBorder="1" applyAlignment="1">
      <alignment horizontal="center" vertical="center" wrapText="1"/>
    </xf>
    <xf numFmtId="169" fontId="30" fillId="5" borderId="18" xfId="0" applyNumberFormat="1" applyFont="1" applyFill="1" applyBorder="1" applyAlignment="1">
      <alignment horizontal="center" vertical="center"/>
    </xf>
    <xf numFmtId="0" fontId="3" fillId="3" borderId="13" xfId="0" applyFont="1" applyFill="1" applyBorder="1" applyAlignment="1">
      <alignment horizontal="left" wrapText="1"/>
    </xf>
    <xf numFmtId="0" fontId="3" fillId="4" borderId="1" xfId="0" applyFont="1" applyFill="1" applyBorder="1" applyAlignment="1">
      <alignment horizontal="center" vertical="center"/>
    </xf>
    <xf numFmtId="0" fontId="3" fillId="5" borderId="14" xfId="0" applyFont="1" applyFill="1" applyBorder="1" applyAlignment="1">
      <alignment horizontal="center" vertical="center"/>
    </xf>
    <xf numFmtId="164" fontId="3" fillId="0" borderId="29" xfId="0" applyNumberFormat="1" applyFont="1" applyFill="1" applyBorder="1" applyAlignment="1">
      <alignment horizontal="center"/>
    </xf>
    <xf numFmtId="1" fontId="8" fillId="4" borderId="35" xfId="0" applyNumberFormat="1" applyFont="1" applyFill="1" applyBorder="1" applyAlignment="1">
      <alignment horizontal="center" vertical="center" wrapText="1"/>
    </xf>
    <xf numFmtId="1" fontId="8" fillId="5" borderId="37"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Fill="1" applyBorder="1"/>
    <xf numFmtId="1" fontId="30" fillId="4" borderId="17" xfId="0" applyNumberFormat="1" applyFont="1" applyFill="1" applyBorder="1" applyAlignment="1">
      <alignment horizontal="center" vertical="center" wrapText="1"/>
    </xf>
    <xf numFmtId="172" fontId="31" fillId="5" borderId="18" xfId="0" applyNumberFormat="1" applyFont="1" applyFill="1" applyBorder="1" applyAlignment="1">
      <alignment horizontal="center" vertical="center" wrapText="1"/>
    </xf>
    <xf numFmtId="1" fontId="34" fillId="0" borderId="0" xfId="0" applyNumberFormat="1" applyFont="1" applyAlignment="1">
      <alignment horizontal="center"/>
    </xf>
    <xf numFmtId="0" fontId="28" fillId="0" borderId="0" xfId="0" applyFont="1"/>
    <xf numFmtId="0" fontId="6" fillId="4" borderId="35" xfId="0" applyFont="1" applyFill="1" applyBorder="1" applyAlignment="1">
      <alignment horizontal="center" vertical="center" wrapText="1"/>
    </xf>
    <xf numFmtId="0" fontId="29" fillId="4" borderId="35"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172" fontId="8" fillId="5" borderId="37" xfId="0" applyNumberFormat="1" applyFont="1" applyFill="1" applyBorder="1" applyAlignment="1">
      <alignment horizontal="center" wrapText="1"/>
    </xf>
    <xf numFmtId="0" fontId="3" fillId="8" borderId="15" xfId="0" applyFont="1" applyFill="1" applyBorder="1" applyAlignment="1">
      <alignment horizontal="right" wrapText="1" indent="1"/>
    </xf>
    <xf numFmtId="0" fontId="30" fillId="8" borderId="17" xfId="0" applyFont="1" applyFill="1" applyBorder="1" applyAlignment="1">
      <alignment horizontal="right" wrapText="1" indent="1"/>
    </xf>
    <xf numFmtId="0" fontId="30" fillId="8" borderId="17" xfId="0" applyFont="1" applyFill="1" applyBorder="1" applyAlignment="1">
      <alignment horizontal="justify" vertical="top" wrapText="1"/>
    </xf>
    <xf numFmtId="0" fontId="31" fillId="8" borderId="17" xfId="0" applyFont="1" applyFill="1" applyBorder="1" applyAlignment="1">
      <alignment horizontal="justify" vertical="top" wrapText="1"/>
    </xf>
    <xf numFmtId="1" fontId="30" fillId="4" borderId="7" xfId="0" applyNumberFormat="1" applyFont="1" applyFill="1" applyBorder="1" applyAlignment="1">
      <alignment horizontal="center" vertical="center" wrapText="1"/>
    </xf>
    <xf numFmtId="1" fontId="31" fillId="4" borderId="17" xfId="0" applyNumberFormat="1" applyFont="1" applyFill="1" applyBorder="1" applyAlignment="1">
      <alignment horizontal="center" vertical="center"/>
    </xf>
    <xf numFmtId="0" fontId="31" fillId="5" borderId="18"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4" borderId="35" xfId="0" applyFont="1" applyFill="1" applyBorder="1" applyAlignment="1">
      <alignment horizontal="center" vertical="center" wrapText="1"/>
    </xf>
    <xf numFmtId="169" fontId="3" fillId="5" borderId="16" xfId="0" applyNumberFormat="1" applyFont="1" applyFill="1" applyBorder="1" applyAlignment="1">
      <alignment horizontal="center" vertical="center" wrapText="1"/>
    </xf>
    <xf numFmtId="169" fontId="30" fillId="4" borderId="35" xfId="0" applyNumberFormat="1" applyFont="1" applyFill="1" applyBorder="1" applyAlignment="1">
      <alignment horizontal="center" vertical="center" wrapText="1"/>
    </xf>
    <xf numFmtId="0" fontId="3" fillId="4" borderId="2"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5" borderId="39" xfId="0" applyFont="1" applyFill="1" applyBorder="1" applyAlignment="1">
      <alignment horizontal="center" vertical="top" wrapText="1"/>
    </xf>
    <xf numFmtId="0" fontId="8" fillId="5" borderId="37" xfId="0" applyFont="1" applyFill="1" applyBorder="1" applyAlignment="1">
      <alignment horizontal="center" vertical="center"/>
    </xf>
    <xf numFmtId="0" fontId="8" fillId="0" borderId="1" xfId="0" applyFont="1" applyFill="1" applyBorder="1" applyAlignment="1">
      <alignment horizontal="left" vertical="center" wrapText="1"/>
    </xf>
    <xf numFmtId="0" fontId="29" fillId="4" borderId="35" xfId="0" applyFont="1" applyFill="1" applyBorder="1" applyAlignment="1">
      <alignment horizontal="center" vertical="center"/>
    </xf>
    <xf numFmtId="0" fontId="29" fillId="5" borderId="37" xfId="0" applyFont="1" applyFill="1" applyBorder="1" applyAlignment="1">
      <alignment horizontal="center" vertical="center"/>
    </xf>
    <xf numFmtId="0" fontId="8" fillId="5" borderId="16"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 fillId="4" borderId="35" xfId="0" applyFont="1" applyFill="1" applyBorder="1" applyAlignment="1">
      <alignment horizontal="center" vertical="top" wrapText="1"/>
    </xf>
    <xf numFmtId="0" fontId="30" fillId="4" borderId="35" xfId="0" applyFont="1" applyFill="1" applyBorder="1" applyAlignment="1">
      <alignment horizontal="center" vertical="top" wrapText="1"/>
    </xf>
    <xf numFmtId="0" fontId="30" fillId="5" borderId="39" xfId="0" applyFont="1" applyFill="1" applyBorder="1" applyAlignment="1">
      <alignment horizontal="center" vertical="top" wrapText="1"/>
    </xf>
    <xf numFmtId="0" fontId="30" fillId="4" borderId="17" xfId="0" applyFont="1" applyFill="1" applyBorder="1" applyAlignment="1">
      <alignment horizontal="center" vertical="top" wrapText="1"/>
    </xf>
    <xf numFmtId="0" fontId="30" fillId="5" borderId="40" xfId="0" applyFont="1" applyFill="1" applyBorder="1" applyAlignment="1">
      <alignment horizontal="center" vertical="top" wrapText="1"/>
    </xf>
    <xf numFmtId="0" fontId="30" fillId="4" borderId="5" xfId="0" applyFont="1" applyFill="1" applyBorder="1" applyAlignment="1">
      <alignment horizontal="center" vertical="top" wrapText="1"/>
    </xf>
    <xf numFmtId="0" fontId="30" fillId="4" borderId="7" xfId="0" applyFont="1" applyFill="1" applyBorder="1" applyAlignment="1">
      <alignment horizontal="center" vertical="top" wrapText="1"/>
    </xf>
    <xf numFmtId="0" fontId="3" fillId="5" borderId="37" xfId="0" applyFont="1" applyFill="1" applyBorder="1" applyAlignment="1">
      <alignment horizontal="center" vertical="top" wrapText="1"/>
    </xf>
    <xf numFmtId="0" fontId="35" fillId="0" borderId="0" xfId="0" applyFont="1" applyFill="1" applyBorder="1"/>
    <xf numFmtId="0" fontId="31" fillId="5" borderId="37" xfId="0" applyFont="1" applyFill="1" applyBorder="1" applyAlignment="1">
      <alignment horizontal="center" vertical="center"/>
    </xf>
    <xf numFmtId="169" fontId="30" fillId="4" borderId="17" xfId="0" applyNumberFormat="1" applyFont="1" applyFill="1" applyBorder="1" applyAlignment="1">
      <alignment horizontal="center" vertical="center"/>
    </xf>
    <xf numFmtId="0" fontId="3" fillId="8" borderId="2" xfId="0" applyFont="1" applyFill="1" applyBorder="1" applyAlignment="1">
      <alignment vertical="top" wrapText="1"/>
    </xf>
    <xf numFmtId="0" fontId="3" fillId="8" borderId="4" xfId="0" applyFont="1" applyFill="1" applyBorder="1" applyAlignment="1">
      <alignment vertical="top" wrapText="1"/>
    </xf>
    <xf numFmtId="0" fontId="3" fillId="8" borderId="5" xfId="0" applyFont="1" applyFill="1" applyBorder="1" applyAlignment="1">
      <alignment vertical="center" wrapText="1"/>
    </xf>
    <xf numFmtId="0" fontId="3" fillId="8" borderId="6" xfId="0" applyFont="1" applyFill="1" applyBorder="1" applyAlignment="1">
      <alignment vertical="top" wrapText="1"/>
    </xf>
    <xf numFmtId="0" fontId="3" fillId="8" borderId="7" xfId="0" applyFont="1" applyFill="1" applyBorder="1" applyAlignment="1">
      <alignment vertical="top" wrapText="1"/>
    </xf>
    <xf numFmtId="0" fontId="3" fillId="8" borderId="9" xfId="0" applyFont="1" applyFill="1" applyBorder="1" applyAlignment="1">
      <alignment vertical="top" wrapText="1"/>
    </xf>
    <xf numFmtId="0" fontId="3" fillId="8" borderId="5" xfId="0" applyFont="1" applyFill="1" applyBorder="1" applyAlignment="1">
      <alignment vertical="top" wrapText="1"/>
    </xf>
    <xf numFmtId="169" fontId="30" fillId="4" borderId="17" xfId="0" applyNumberFormat="1" applyFont="1" applyFill="1" applyBorder="1" applyAlignment="1">
      <alignment horizontal="center" vertical="top" wrapText="1"/>
    </xf>
    <xf numFmtId="0" fontId="30" fillId="8" borderId="17" xfId="0" applyFont="1" applyFill="1" applyBorder="1" applyAlignment="1">
      <alignment vertical="top" wrapText="1"/>
    </xf>
    <xf numFmtId="0" fontId="8" fillId="8" borderId="15" xfId="0" applyFont="1" applyFill="1" applyBorder="1" applyAlignment="1">
      <alignment vertical="top" wrapText="1"/>
    </xf>
    <xf numFmtId="0" fontId="31" fillId="8" borderId="7" xfId="0" applyFont="1" applyFill="1" applyBorder="1" applyAlignment="1">
      <alignment vertical="top" wrapText="1"/>
    </xf>
    <xf numFmtId="0" fontId="31" fillId="8" borderId="35" xfId="0" applyFont="1" applyFill="1" applyBorder="1" applyAlignment="1">
      <alignment vertical="top" wrapText="1"/>
    </xf>
    <xf numFmtId="0" fontId="30" fillId="5" borderId="40"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0" fillId="0" borderId="0" xfId="0" applyFont="1" applyFill="1" applyBorder="1" applyAlignment="1">
      <alignment horizontal="right" indent="1"/>
    </xf>
    <xf numFmtId="166" fontId="30" fillId="0" borderId="5" xfId="0" applyNumberFormat="1" applyFont="1" applyFill="1" applyBorder="1" applyAlignment="1"/>
    <xf numFmtId="0" fontId="33" fillId="0" borderId="5" xfId="0" applyFont="1" applyFill="1" applyBorder="1" applyAlignment="1"/>
    <xf numFmtId="0" fontId="8" fillId="5" borderId="37" xfId="0" applyFont="1" applyFill="1" applyBorder="1" applyAlignment="1">
      <alignment horizontal="center" vertical="center" wrapText="1"/>
    </xf>
    <xf numFmtId="0" fontId="3" fillId="4" borderId="35" xfId="0" applyFont="1" applyFill="1" applyBorder="1" applyAlignment="1">
      <alignment horizontal="center" vertical="center"/>
    </xf>
    <xf numFmtId="0" fontId="3" fillId="8" borderId="36" xfId="0" applyFont="1" applyFill="1" applyBorder="1" applyAlignment="1">
      <alignment horizontal="right" vertical="top" wrapText="1" indent="1"/>
    </xf>
    <xf numFmtId="0" fontId="31" fillId="8" borderId="20" xfId="0" applyFont="1" applyFill="1" applyBorder="1" applyAlignment="1">
      <alignment horizontal="right" vertical="top" wrapText="1" indent="1"/>
    </xf>
    <xf numFmtId="0" fontId="30" fillId="8" borderId="41" xfId="0" applyFont="1" applyFill="1" applyBorder="1" applyAlignment="1">
      <alignment horizontal="right" vertical="top" wrapText="1" indent="1"/>
    </xf>
    <xf numFmtId="0" fontId="8" fillId="8" borderId="19" xfId="0" applyFont="1" applyFill="1" applyBorder="1" applyAlignment="1">
      <alignment horizontal="right" vertical="top" wrapText="1" indent="1"/>
    </xf>
    <xf numFmtId="0" fontId="30" fillId="4" borderId="26"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 fillId="8" borderId="19" xfId="0" applyFont="1" applyFill="1" applyBorder="1" applyAlignment="1">
      <alignment horizontal="right" vertical="top" wrapText="1" indent="1"/>
    </xf>
    <xf numFmtId="0" fontId="30" fillId="8" borderId="20" xfId="0" applyFont="1" applyFill="1" applyBorder="1" applyAlignment="1">
      <alignment horizontal="right" vertical="top" wrapText="1" indent="1"/>
    </xf>
    <xf numFmtId="0" fontId="30" fillId="0" borderId="0" xfId="0" applyFont="1" applyFill="1" applyBorder="1" applyAlignment="1">
      <alignment horizontal="left"/>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9" xfId="0" applyFont="1" applyFill="1" applyBorder="1" applyAlignment="1">
      <alignment horizontal="center" vertical="top"/>
    </xf>
    <xf numFmtId="0" fontId="3" fillId="0" borderId="36" xfId="0" applyFont="1" applyFill="1" applyBorder="1" applyAlignment="1">
      <alignment horizontal="center" vertical="top"/>
    </xf>
    <xf numFmtId="0" fontId="3" fillId="0" borderId="20" xfId="0" applyFont="1" applyFill="1" applyBorder="1" applyAlignment="1">
      <alignment horizontal="center" vertical="top"/>
    </xf>
    <xf numFmtId="164" fontId="8" fillId="4"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8" borderId="15" xfId="0" applyFont="1" applyFill="1" applyBorder="1" applyAlignment="1">
      <alignment horizontal="center" vertical="center" wrapText="1"/>
    </xf>
    <xf numFmtId="0" fontId="30" fillId="4" borderId="35" xfId="0" applyFont="1" applyFill="1" applyBorder="1" applyAlignment="1">
      <alignment horizontal="center" vertical="center" wrapText="1"/>
    </xf>
    <xf numFmtId="0" fontId="36" fillId="0" borderId="0" xfId="0" applyFont="1"/>
    <xf numFmtId="0" fontId="37" fillId="0" borderId="0" xfId="1" applyFont="1" applyFill="1" applyBorder="1" applyAlignment="1" applyProtection="1"/>
    <xf numFmtId="0" fontId="37" fillId="0" borderId="0" xfId="1" applyFont="1" applyFill="1" applyBorder="1"/>
    <xf numFmtId="0" fontId="26" fillId="0" borderId="0" xfId="0" applyFont="1" applyBorder="1" applyAlignment="1">
      <alignment wrapText="1"/>
    </xf>
    <xf numFmtId="0" fontId="32" fillId="0" borderId="0" xfId="0" applyFont="1" applyBorder="1" applyAlignment="1">
      <alignment horizontal="left" wrapText="1"/>
    </xf>
    <xf numFmtId="0" fontId="35" fillId="0" borderId="0" xfId="0" applyFont="1" applyFill="1"/>
    <xf numFmtId="1" fontId="35" fillId="0" borderId="0" xfId="0" applyNumberFormat="1" applyFont="1" applyFill="1" applyAlignment="1">
      <alignment horizontal="center"/>
    </xf>
    <xf numFmtId="0" fontId="36" fillId="0" borderId="0" xfId="0" applyFont="1" applyFill="1"/>
    <xf numFmtId="164" fontId="36" fillId="0" borderId="1" xfId="0" applyNumberFormat="1" applyFont="1" applyFill="1" applyBorder="1" applyAlignment="1">
      <alignment horizontal="right" vertical="center" indent="1"/>
    </xf>
    <xf numFmtId="0" fontId="9" fillId="0" borderId="0" xfId="3" applyFont="1" applyFill="1" applyBorder="1"/>
    <xf numFmtId="166" fontId="36" fillId="0" borderId="0" xfId="0" applyNumberFormat="1" applyFont="1"/>
    <xf numFmtId="169" fontId="36" fillId="0" borderId="0" xfId="0" applyNumberFormat="1" applyFont="1"/>
    <xf numFmtId="0" fontId="30" fillId="0" borderId="0" xfId="0" applyFont="1" applyFill="1" applyBorder="1" applyAlignment="1"/>
    <xf numFmtId="0" fontId="6"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3" fillId="5" borderId="16" xfId="0" applyFont="1" applyFill="1" applyBorder="1" applyAlignment="1">
      <alignment horizontal="center" vertical="top" wrapText="1"/>
    </xf>
    <xf numFmtId="0" fontId="30" fillId="5" borderId="37" xfId="0" applyFont="1" applyFill="1" applyBorder="1" applyAlignment="1">
      <alignment horizontal="center" vertical="top" wrapText="1"/>
    </xf>
    <xf numFmtId="0" fontId="30" fillId="5" borderId="18" xfId="0" applyFont="1" applyFill="1" applyBorder="1" applyAlignment="1">
      <alignment horizontal="center" vertical="top" wrapText="1"/>
    </xf>
    <xf numFmtId="0" fontId="13" fillId="0" borderId="2" xfId="0" applyFont="1" applyBorder="1"/>
    <xf numFmtId="0" fontId="13" fillId="0" borderId="3" xfId="0" applyFont="1" applyBorder="1"/>
    <xf numFmtId="0" fontId="36" fillId="0" borderId="4" xfId="0" applyFont="1" applyBorder="1"/>
    <xf numFmtId="0" fontId="38" fillId="2" borderId="6" xfId="0" applyFont="1" applyFill="1" applyBorder="1" applyAlignment="1">
      <alignment horizontal="left" indent="2"/>
    </xf>
    <xf numFmtId="0" fontId="13" fillId="0" borderId="5" xfId="0" applyFont="1" applyBorder="1"/>
    <xf numFmtId="0" fontId="13" fillId="0" borderId="0" xfId="0" applyFont="1" applyBorder="1"/>
    <xf numFmtId="0" fontId="36" fillId="0" borderId="6" xfId="0" applyFont="1" applyBorder="1"/>
    <xf numFmtId="0" fontId="39" fillId="0" borderId="6" xfId="0" applyFont="1" applyBorder="1" applyAlignment="1"/>
    <xf numFmtId="14" fontId="36" fillId="0" borderId="0" xfId="0" applyNumberFormat="1" applyFont="1"/>
    <xf numFmtId="0" fontId="40" fillId="2" borderId="6" xfId="0" applyFont="1" applyFill="1" applyBorder="1" applyAlignment="1"/>
    <xf numFmtId="0" fontId="13" fillId="0" borderId="0" xfId="1" applyFont="1" applyBorder="1" applyAlignment="1" applyProtection="1">
      <alignment horizontal="justify" vertical="top" wrapText="1"/>
    </xf>
    <xf numFmtId="0" fontId="39" fillId="0" borderId="6" xfId="1" applyFont="1" applyBorder="1" applyAlignment="1" applyProtection="1">
      <alignment horizontal="justify" vertical="top" wrapText="1"/>
    </xf>
    <xf numFmtId="0" fontId="43" fillId="2" borderId="6" xfId="0" applyFont="1" applyFill="1" applyBorder="1" applyAlignment="1"/>
    <xf numFmtId="0" fontId="13" fillId="0" borderId="6" xfId="0" applyFont="1" applyBorder="1"/>
    <xf numFmtId="0" fontId="36" fillId="0" borderId="9" xfId="0" applyFont="1" applyBorder="1"/>
    <xf numFmtId="0" fontId="13" fillId="0" borderId="0" xfId="0" applyFont="1"/>
    <xf numFmtId="0" fontId="37" fillId="0" borderId="0" xfId="1" applyFont="1" applyBorder="1" applyAlignment="1" applyProtection="1">
      <alignment horizontal="left" indent="2"/>
    </xf>
    <xf numFmtId="0" fontId="8" fillId="0" borderId="1" xfId="0" applyFont="1" applyFill="1" applyBorder="1" applyAlignment="1">
      <alignment vertical="center"/>
    </xf>
    <xf numFmtId="164" fontId="8" fillId="10" borderId="1" xfId="0" applyNumberFormat="1" applyFont="1" applyFill="1" applyBorder="1" applyAlignment="1">
      <alignment vertical="center" wrapText="1"/>
    </xf>
    <xf numFmtId="164" fontId="8" fillId="4" borderId="1" xfId="0" applyNumberFormat="1" applyFont="1" applyFill="1" applyBorder="1" applyAlignment="1">
      <alignment vertical="center" wrapText="1"/>
    </xf>
    <xf numFmtId="166" fontId="8" fillId="0" borderId="0" xfId="0" applyNumberFormat="1" applyFont="1" applyFill="1" applyBorder="1"/>
    <xf numFmtId="164" fontId="8" fillId="5" borderId="23" xfId="0" applyNumberFormat="1" applyFont="1" applyFill="1" applyBorder="1" applyAlignment="1">
      <alignment vertical="center" wrapText="1"/>
    </xf>
    <xf numFmtId="164" fontId="8" fillId="4" borderId="23" xfId="0" applyNumberFormat="1" applyFont="1" applyFill="1" applyBorder="1" applyAlignment="1">
      <alignment vertical="center" wrapText="1"/>
    </xf>
    <xf numFmtId="164" fontId="8" fillId="4" borderId="1" xfId="0" applyNumberFormat="1" applyFont="1" applyFill="1" applyBorder="1" applyAlignment="1">
      <alignment vertical="center" wrapText="1"/>
    </xf>
    <xf numFmtId="164" fontId="8" fillId="4" borderId="1" xfId="0" applyNumberFormat="1" applyFont="1" applyFill="1" applyBorder="1" applyAlignment="1">
      <alignment vertical="center" wrapText="1"/>
    </xf>
    <xf numFmtId="167" fontId="2" fillId="0" borderId="0" xfId="1" applyNumberFormat="1" applyFill="1" applyBorder="1" applyAlignment="1">
      <alignment horizontal="center"/>
    </xf>
    <xf numFmtId="167" fontId="3" fillId="0" borderId="29" xfId="0" applyNumberFormat="1" applyFont="1" applyFill="1" applyBorder="1" applyAlignment="1">
      <alignment horizontal="center"/>
    </xf>
    <xf numFmtId="167" fontId="3" fillId="0" borderId="28" xfId="0" applyNumberFormat="1" applyFont="1" applyFill="1" applyBorder="1" applyAlignment="1">
      <alignment horizontal="center"/>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31" fillId="5" borderId="18" xfId="0" applyFont="1" applyFill="1" applyBorder="1" applyAlignment="1">
      <alignment horizontal="center" vertical="top" wrapText="1"/>
    </xf>
    <xf numFmtId="0" fontId="48" fillId="8" borderId="5" xfId="0" applyFont="1" applyFill="1" applyBorder="1" applyAlignment="1">
      <alignment vertical="top" wrapText="1"/>
    </xf>
    <xf numFmtId="0" fontId="48" fillId="8" borderId="6" xfId="0" applyFont="1" applyFill="1" applyBorder="1" applyAlignment="1">
      <alignment vertical="top" wrapText="1"/>
    </xf>
    <xf numFmtId="0" fontId="48" fillId="4" borderId="35"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49" fillId="8" borderId="0" xfId="0" applyFont="1" applyFill="1" applyBorder="1" applyAlignment="1">
      <alignment horizontal="left" vertical="top" wrapText="1"/>
    </xf>
    <xf numFmtId="169" fontId="49" fillId="4" borderId="35" xfId="0" applyNumberFormat="1" applyFont="1" applyFill="1" applyBorder="1" applyAlignment="1">
      <alignment horizontal="center" vertical="top" wrapText="1"/>
    </xf>
    <xf numFmtId="0" fontId="50" fillId="5" borderId="37" xfId="0" applyFont="1" applyFill="1" applyBorder="1" applyAlignment="1">
      <alignment horizontal="center" vertical="top" wrapText="1"/>
    </xf>
    <xf numFmtId="169" fontId="49" fillId="4" borderId="26" xfId="0" applyNumberFormat="1" applyFont="1" applyFill="1" applyBorder="1" applyAlignment="1">
      <alignment horizontal="center" vertical="top" wrapText="1"/>
    </xf>
    <xf numFmtId="0" fontId="50" fillId="5" borderId="27" xfId="0" applyFont="1" applyFill="1" applyBorder="1" applyAlignment="1">
      <alignment horizontal="center" vertical="top" wrapText="1"/>
    </xf>
    <xf numFmtId="0" fontId="48" fillId="8" borderId="35" xfId="0" applyFont="1" applyFill="1" applyBorder="1" applyAlignment="1">
      <alignment horizontal="justify" vertical="top" wrapText="1"/>
    </xf>
    <xf numFmtId="1" fontId="48" fillId="4" borderId="15" xfId="0" applyNumberFormat="1" applyFont="1" applyFill="1" applyBorder="1" applyAlignment="1">
      <alignment horizontal="center" vertical="center" wrapText="1"/>
    </xf>
    <xf numFmtId="1" fontId="48" fillId="5" borderId="16" xfId="0" applyNumberFormat="1" applyFont="1" applyFill="1" applyBorder="1" applyAlignment="1">
      <alignment horizontal="center" vertical="center" wrapText="1"/>
    </xf>
    <xf numFmtId="0" fontId="49" fillId="8" borderId="35" xfId="0" applyFont="1" applyFill="1" applyBorder="1" applyAlignment="1">
      <alignment horizontal="justify" vertical="top" wrapText="1"/>
    </xf>
    <xf numFmtId="1" fontId="9" fillId="4" borderId="35" xfId="0" applyNumberFormat="1" applyFont="1" applyFill="1" applyBorder="1" applyAlignment="1">
      <alignment horizontal="center" vertical="center" wrapText="1"/>
    </xf>
    <xf numFmtId="1" fontId="48" fillId="5" borderId="37" xfId="0" applyNumberFormat="1" applyFont="1" applyFill="1" applyBorder="1" applyAlignment="1">
      <alignment horizontal="center" vertical="center" wrapText="1"/>
    </xf>
    <xf numFmtId="1" fontId="49" fillId="4" borderId="17" xfId="0" applyNumberFormat="1" applyFont="1" applyFill="1" applyBorder="1" applyAlignment="1">
      <alignment horizontal="center" vertical="center" wrapText="1"/>
    </xf>
    <xf numFmtId="1" fontId="49" fillId="5" borderId="18" xfId="0" applyNumberFormat="1" applyFont="1" applyFill="1" applyBorder="1" applyAlignment="1">
      <alignment horizontal="center" vertical="center" wrapText="1"/>
    </xf>
    <xf numFmtId="1" fontId="48" fillId="4" borderId="35" xfId="0" applyNumberFormat="1" applyFont="1" applyFill="1" applyBorder="1" applyAlignment="1">
      <alignment horizontal="center" vertical="center" wrapText="1"/>
    </xf>
    <xf numFmtId="0" fontId="49" fillId="8" borderId="17" xfId="0" applyFont="1" applyFill="1" applyBorder="1" applyAlignment="1">
      <alignment horizontal="justify" vertical="top" wrapText="1"/>
    </xf>
    <xf numFmtId="164" fontId="3" fillId="0" borderId="50" xfId="0" applyNumberFormat="1" applyFont="1" applyFill="1" applyBorder="1" applyAlignment="1">
      <alignment horizontal="center"/>
    </xf>
    <xf numFmtId="0" fontId="33" fillId="0" borderId="0" xfId="0" applyFont="1" applyFill="1" applyBorder="1" applyAlignment="1"/>
    <xf numFmtId="0" fontId="36" fillId="9" borderId="22" xfId="0" applyFont="1" applyFill="1" applyBorder="1" applyAlignment="1">
      <alignment horizontal="center"/>
    </xf>
    <xf numFmtId="0" fontId="36" fillId="9" borderId="25" xfId="0" applyFont="1" applyFill="1" applyBorder="1" applyAlignment="1">
      <alignment horizontal="center"/>
    </xf>
    <xf numFmtId="0" fontId="36" fillId="9" borderId="23" xfId="0" applyFont="1" applyFill="1" applyBorder="1" applyAlignment="1">
      <alignment horizontal="center"/>
    </xf>
    <xf numFmtId="0" fontId="45" fillId="0" borderId="5" xfId="0" applyFont="1" applyFill="1" applyBorder="1" applyAlignment="1">
      <alignment horizontal="center"/>
    </xf>
    <xf numFmtId="0" fontId="45" fillId="0" borderId="0" xfId="0" applyFont="1" applyFill="1" applyBorder="1" applyAlignment="1">
      <alignment horizontal="center"/>
    </xf>
    <xf numFmtId="0" fontId="38" fillId="2" borderId="5" xfId="0" applyFont="1" applyFill="1" applyBorder="1" applyAlignment="1">
      <alignment horizontal="left" indent="2"/>
    </xf>
    <xf numFmtId="0" fontId="38" fillId="2" borderId="0" xfId="0" applyFont="1" applyFill="1" applyBorder="1" applyAlignment="1">
      <alignment horizontal="left" indent="2"/>
    </xf>
    <xf numFmtId="0" fontId="8" fillId="8" borderId="2" xfId="0" applyFont="1" applyFill="1" applyBorder="1" applyAlignment="1">
      <alignment horizontal="center" vertical="top" wrapText="1"/>
    </xf>
    <xf numFmtId="0" fontId="8" fillId="8" borderId="38" xfId="0" applyFont="1" applyFill="1" applyBorder="1" applyAlignment="1">
      <alignment horizontal="center" vertical="top" wrapText="1"/>
    </xf>
    <xf numFmtId="0" fontId="6" fillId="3" borderId="13" xfId="0" applyFont="1" applyFill="1" applyBorder="1" applyAlignment="1">
      <alignment horizontal="right" vertical="top" wrapText="1" indent="2"/>
    </xf>
    <xf numFmtId="0" fontId="6" fillId="3" borderId="1" xfId="0" applyFont="1" applyFill="1" applyBorder="1" applyAlignment="1">
      <alignment horizontal="right" vertical="top" wrapText="1" indent="2"/>
    </xf>
    <xf numFmtId="0" fontId="6" fillId="3" borderId="14" xfId="0" applyFont="1" applyFill="1" applyBorder="1" applyAlignment="1">
      <alignment horizontal="right" vertical="top" wrapText="1" indent="2"/>
    </xf>
    <xf numFmtId="0" fontId="3" fillId="8" borderId="13" xfId="0" applyFont="1" applyFill="1" applyBorder="1" applyAlignment="1">
      <alignment horizontal="right" vertical="top" wrapText="1" indent="1"/>
    </xf>
    <xf numFmtId="0" fontId="3" fillId="8" borderId="19" xfId="0" applyFont="1" applyFill="1" applyBorder="1" applyAlignment="1">
      <alignment horizontal="right" vertical="top" wrapText="1" inden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3" fillId="0" borderId="22" xfId="0" applyFont="1" applyFill="1" applyBorder="1" applyAlignment="1">
      <alignment horizontal="center" wrapText="1"/>
    </xf>
    <xf numFmtId="0" fontId="3" fillId="0" borderId="34" xfId="0" applyFont="1" applyFill="1" applyBorder="1" applyAlignment="1">
      <alignment horizontal="center" wrapText="1"/>
    </xf>
    <xf numFmtId="0" fontId="30" fillId="8" borderId="20" xfId="0" applyFont="1" applyFill="1" applyBorder="1" applyAlignment="1">
      <alignment horizontal="right" vertical="top" wrapText="1" indent="1"/>
    </xf>
    <xf numFmtId="0" fontId="30" fillId="8" borderId="13" xfId="0" applyFont="1" applyFill="1" applyBorder="1" applyAlignment="1">
      <alignment horizontal="right" vertical="top" wrapText="1" indent="1"/>
    </xf>
    <xf numFmtId="0" fontId="31" fillId="8" borderId="7" xfId="0" applyFont="1" applyFill="1" applyBorder="1" applyAlignment="1">
      <alignment horizontal="center" vertical="top" wrapText="1"/>
    </xf>
    <xf numFmtId="0" fontId="31" fillId="8" borderId="40" xfId="0" applyFont="1" applyFill="1" applyBorder="1" applyAlignment="1">
      <alignment horizontal="center" vertical="top" wrapText="1"/>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3" fillId="5" borderId="22" xfId="0" applyFont="1" applyFill="1" applyBorder="1" applyAlignment="1">
      <alignment horizontal="center" wrapText="1"/>
    </xf>
    <xf numFmtId="0" fontId="3" fillId="5" borderId="23" xfId="0" applyFont="1" applyFill="1" applyBorder="1" applyAlignment="1">
      <alignment horizontal="center" wrapText="1"/>
    </xf>
    <xf numFmtId="0" fontId="3" fillId="8" borderId="19" xfId="0" applyFont="1" applyFill="1" applyBorder="1" applyAlignment="1">
      <alignment horizontal="left" vertical="top" wrapText="1"/>
    </xf>
    <xf numFmtId="0" fontId="3" fillId="8" borderId="36" xfId="0" applyFont="1" applyFill="1" applyBorder="1" applyAlignment="1">
      <alignment horizontal="left" vertical="top" wrapText="1"/>
    </xf>
    <xf numFmtId="0" fontId="30" fillId="8" borderId="36" xfId="0" applyFont="1" applyFill="1" applyBorder="1" applyAlignment="1">
      <alignment horizontal="left" vertical="top" wrapText="1"/>
    </xf>
    <xf numFmtId="0" fontId="30" fillId="8" borderId="20" xfId="0" applyFont="1" applyFill="1" applyBorder="1" applyAlignment="1">
      <alignment horizontal="left" vertical="top" wrapText="1"/>
    </xf>
    <xf numFmtId="0" fontId="30" fillId="0" borderId="5" xfId="0" applyFont="1" applyFill="1" applyBorder="1" applyAlignment="1">
      <alignment horizontal="left"/>
    </xf>
    <xf numFmtId="0" fontId="30" fillId="0" borderId="0" xfId="0" applyFont="1" applyFill="1" applyBorder="1" applyAlignment="1">
      <alignment horizontal="left"/>
    </xf>
    <xf numFmtId="0" fontId="30" fillId="0" borderId="5" xfId="0" applyFont="1" applyFill="1" applyBorder="1" applyAlignment="1">
      <alignment horizontal="left" wrapText="1"/>
    </xf>
    <xf numFmtId="0" fontId="30" fillId="0" borderId="0" xfId="0" applyFont="1" applyFill="1" applyBorder="1" applyAlignment="1">
      <alignment horizontal="left" wrapText="1"/>
    </xf>
    <xf numFmtId="0" fontId="31" fillId="0" borderId="22"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8" fillId="0" borderId="15" xfId="0" applyFont="1" applyFill="1" applyBorder="1" applyAlignment="1">
      <alignment vertical="center" wrapText="1"/>
    </xf>
    <xf numFmtId="0" fontId="8" fillId="0" borderId="17" xfId="0" applyFont="1" applyFill="1" applyBorder="1" applyAlignment="1">
      <alignment vertical="center"/>
    </xf>
    <xf numFmtId="0" fontId="8" fillId="0" borderId="15" xfId="0" applyFont="1" applyFill="1" applyBorder="1" applyAlignment="1">
      <alignment horizontal="left" vertical="center"/>
    </xf>
    <xf numFmtId="0" fontId="8" fillId="0" borderId="17" xfId="0" applyFont="1" applyFill="1" applyBorder="1" applyAlignment="1">
      <alignment horizontal="left"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6" fillId="2" borderId="45"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7" xfId="0" applyFont="1" applyFill="1" applyBorder="1" applyAlignment="1">
      <alignment vertical="center" wrapText="1"/>
    </xf>
    <xf numFmtId="0" fontId="8" fillId="0" borderId="1" xfId="0" applyFont="1" applyFill="1" applyBorder="1" applyAlignment="1">
      <alignment vertical="center"/>
    </xf>
    <xf numFmtId="0" fontId="3" fillId="0" borderId="0"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5"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7" xfId="0" applyFont="1" applyFill="1" applyBorder="1" applyAlignment="1">
      <alignment horizontal="left" vertical="center" indent="1"/>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6" fillId="0" borderId="0" xfId="0" applyFont="1" applyFill="1" applyBorder="1" applyAlignment="1">
      <alignment horizontal="left" wrapText="1"/>
    </xf>
    <xf numFmtId="0" fontId="3" fillId="0" borderId="1" xfId="0" applyFont="1" applyFill="1" applyBorder="1" applyAlignment="1">
      <alignment horizontal="center"/>
    </xf>
    <xf numFmtId="173" fontId="8" fillId="0" borderId="1" xfId="0" applyNumberFormat="1" applyFont="1" applyFill="1" applyBorder="1" applyAlignment="1">
      <alignment horizontal="center"/>
    </xf>
    <xf numFmtId="0" fontId="3" fillId="8" borderId="2" xfId="0" applyFont="1" applyFill="1" applyBorder="1" applyAlignment="1">
      <alignment horizontal="center" wrapText="1"/>
    </xf>
    <xf numFmtId="0" fontId="3" fillId="8" borderId="38" xfId="0" applyFont="1" applyFill="1" applyBorder="1" applyAlignment="1">
      <alignment horizontal="center" wrapText="1"/>
    </xf>
    <xf numFmtId="173" fontId="3" fillId="0" borderId="1" xfId="0" applyNumberFormat="1" applyFont="1" applyFill="1" applyBorder="1" applyAlignment="1">
      <alignment horizontal="center"/>
    </xf>
    <xf numFmtId="0" fontId="6" fillId="8" borderId="15" xfId="0" applyFont="1" applyFill="1" applyBorder="1" applyAlignment="1">
      <alignment horizontal="justify" vertical="top" wrapText="1"/>
    </xf>
    <xf numFmtId="0" fontId="6" fillId="8" borderId="35" xfId="0" applyFont="1" applyFill="1" applyBorder="1" applyAlignment="1">
      <alignment horizontal="justify" vertical="top"/>
    </xf>
    <xf numFmtId="0" fontId="8" fillId="0" borderId="15"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3" fillId="8" borderId="15" xfId="0" applyFont="1" applyFill="1" applyBorder="1" applyAlignment="1">
      <alignment horizontal="justify" vertical="top" wrapText="1"/>
    </xf>
    <xf numFmtId="0" fontId="3" fillId="8" borderId="35" xfId="0" applyFont="1" applyFill="1" applyBorder="1" applyAlignment="1">
      <alignment horizontal="justify" vertical="top" wrapText="1"/>
    </xf>
    <xf numFmtId="0" fontId="3" fillId="0" borderId="35" xfId="0" applyFont="1" applyFill="1" applyBorder="1" applyAlignment="1">
      <alignment horizontal="center" vertical="center" wrapText="1"/>
    </xf>
    <xf numFmtId="0" fontId="30" fillId="8" borderId="7" xfId="0" applyFont="1" applyFill="1" applyBorder="1" applyAlignment="1">
      <alignment horizontal="center" wrapText="1"/>
    </xf>
    <xf numFmtId="0" fontId="30" fillId="8" borderId="40" xfId="0" applyFont="1" applyFill="1" applyBorder="1" applyAlignment="1">
      <alignment horizontal="center" wrapText="1"/>
    </xf>
    <xf numFmtId="0" fontId="3" fillId="0" borderId="15" xfId="0" applyFont="1" applyFill="1" applyBorder="1" applyAlignment="1">
      <alignment horizontal="center"/>
    </xf>
    <xf numFmtId="0" fontId="3" fillId="0" borderId="17" xfId="0" applyFont="1" applyFill="1" applyBorder="1" applyAlignment="1">
      <alignment horizontal="center"/>
    </xf>
    <xf numFmtId="0" fontId="32" fillId="0" borderId="43" xfId="0" applyFont="1" applyFill="1" applyBorder="1" applyAlignment="1">
      <alignment horizontal="left" wrapText="1"/>
    </xf>
    <xf numFmtId="0" fontId="3" fillId="0" borderId="19" xfId="0" applyFont="1" applyFill="1" applyBorder="1" applyAlignment="1">
      <alignment horizontal="center" vertical="top"/>
    </xf>
    <xf numFmtId="0" fontId="3" fillId="0" borderId="36" xfId="0" applyFont="1" applyFill="1" applyBorder="1" applyAlignment="1">
      <alignment horizontal="center" vertical="top"/>
    </xf>
    <xf numFmtId="0" fontId="3" fillId="0" borderId="20" xfId="0" applyFont="1" applyFill="1" applyBorder="1" applyAlignment="1">
      <alignment horizontal="center" vertical="top"/>
    </xf>
    <xf numFmtId="0" fontId="37" fillId="0" borderId="0" xfId="1" applyFont="1" applyFill="1" applyBorder="1" applyAlignment="1" applyProtection="1">
      <alignment horizontal="left"/>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4" xfId="0" applyFont="1" applyFill="1" applyBorder="1" applyAlignment="1">
      <alignment horizontal="center" vertical="center"/>
    </xf>
    <xf numFmtId="0" fontId="3" fillId="0" borderId="47"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9" xfId="0" applyFont="1" applyFill="1" applyBorder="1" applyAlignment="1">
      <alignment horizontal="center"/>
    </xf>
    <xf numFmtId="0" fontId="3" fillId="0" borderId="20" xfId="0" applyFont="1" applyFill="1" applyBorder="1" applyAlignment="1">
      <alignment horizontal="center"/>
    </xf>
    <xf numFmtId="0" fontId="3" fillId="0" borderId="41" xfId="0" applyFont="1" applyFill="1" applyBorder="1" applyAlignment="1">
      <alignment horizontal="center" vertical="top"/>
    </xf>
    <xf numFmtId="0" fontId="8" fillId="8" borderId="15" xfId="0" applyFont="1" applyFill="1" applyBorder="1" applyAlignment="1">
      <alignment horizontal="justify" vertical="top" wrapText="1"/>
    </xf>
    <xf numFmtId="0" fontId="8" fillId="8" borderId="35" xfId="0" applyFont="1" applyFill="1" applyBorder="1" applyAlignment="1">
      <alignment horizontal="justify" vertical="top" wrapText="1"/>
    </xf>
    <xf numFmtId="0" fontId="8" fillId="0" borderId="17" xfId="0" applyFont="1" applyFill="1" applyBorder="1" applyAlignment="1">
      <alignment horizontal="center" vertical="center" wrapText="1"/>
    </xf>
    <xf numFmtId="0" fontId="29" fillId="8" borderId="35" xfId="0" applyFont="1" applyFill="1" applyBorder="1" applyAlignment="1">
      <alignment horizontal="left" vertical="top" wrapText="1"/>
    </xf>
    <xf numFmtId="0" fontId="29" fillId="8" borderId="26" xfId="0" applyFont="1" applyFill="1" applyBorder="1" applyAlignment="1">
      <alignment horizontal="left" vertical="top" wrapText="1"/>
    </xf>
    <xf numFmtId="0" fontId="8" fillId="3" borderId="22" xfId="0" applyFont="1" applyFill="1" applyBorder="1" applyAlignment="1">
      <alignment horizontal="center" wrapText="1"/>
    </xf>
    <xf numFmtId="0" fontId="8" fillId="3" borderId="34" xfId="0" applyFont="1" applyFill="1" applyBorder="1" applyAlignment="1">
      <alignment horizontal="center" wrapText="1"/>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8" borderId="15" xfId="0" applyFont="1" applyFill="1" applyBorder="1" applyAlignment="1">
      <alignment horizontal="left" vertical="top" wrapText="1"/>
    </xf>
    <xf numFmtId="0" fontId="3" fillId="8" borderId="35" xfId="0" applyFont="1" applyFill="1" applyBorder="1" applyAlignment="1">
      <alignment horizontal="left" vertical="top"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29" fillId="8" borderId="17" xfId="0" applyFont="1" applyFill="1" applyBorder="1" applyAlignment="1">
      <alignment horizontal="left" vertical="top" wrapText="1"/>
    </xf>
    <xf numFmtId="0" fontId="30" fillId="8" borderId="35" xfId="0" applyFont="1" applyFill="1" applyBorder="1" applyAlignment="1">
      <alignment horizontal="left" vertical="top" wrapText="1"/>
    </xf>
    <xf numFmtId="0" fontId="30" fillId="8" borderId="17" xfId="0" applyFont="1" applyFill="1" applyBorder="1" applyAlignment="1">
      <alignment horizontal="left" vertical="top" wrapText="1"/>
    </xf>
    <xf numFmtId="0" fontId="26" fillId="0" borderId="44" xfId="0" applyFont="1" applyFill="1" applyBorder="1" applyAlignment="1">
      <alignment horizontal="lef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8" fillId="3" borderId="14" xfId="0" applyFont="1" applyFill="1" applyBorder="1" applyAlignment="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7" fillId="0" borderId="19" xfId="0" applyFont="1" applyFill="1" applyBorder="1" applyAlignment="1">
      <alignment horizontal="center" vertical="top"/>
    </xf>
    <xf numFmtId="0" fontId="17" fillId="0" borderId="36" xfId="0" applyFont="1" applyFill="1" applyBorder="1" applyAlignment="1">
      <alignment horizontal="center" vertical="top"/>
    </xf>
    <xf numFmtId="0" fontId="17" fillId="0" borderId="20" xfId="0" applyFont="1" applyFill="1" applyBorder="1" applyAlignment="1">
      <alignment horizontal="center" vertical="top"/>
    </xf>
    <xf numFmtId="0" fontId="17" fillId="0" borderId="13" xfId="0" applyFont="1" applyFill="1" applyBorder="1" applyAlignment="1">
      <alignment horizontal="center" vertical="top"/>
    </xf>
    <xf numFmtId="0" fontId="16" fillId="0" borderId="1" xfId="0" applyFont="1" applyFill="1" applyBorder="1" applyAlignment="1">
      <alignment horizontal="center" vertical="center" wrapText="1"/>
    </xf>
    <xf numFmtId="0" fontId="3" fillId="6" borderId="22" xfId="0" applyFont="1" applyFill="1" applyBorder="1" applyAlignment="1">
      <alignment horizontal="center"/>
    </xf>
    <xf numFmtId="0" fontId="3" fillId="6" borderId="23" xfId="0" applyFont="1" applyFill="1" applyBorder="1" applyAlignment="1">
      <alignment horizontal="center"/>
    </xf>
    <xf numFmtId="0" fontId="3" fillId="0" borderId="22" xfId="0" applyFont="1" applyFill="1" applyBorder="1" applyAlignment="1">
      <alignment horizontal="center"/>
    </xf>
    <xf numFmtId="0" fontId="3" fillId="0" borderId="23" xfId="0" applyFont="1" applyFill="1" applyBorder="1" applyAlignment="1">
      <alignment horizontal="center"/>
    </xf>
    <xf numFmtId="2" fontId="3" fillId="4" borderId="22" xfId="0" applyNumberFormat="1" applyFont="1" applyFill="1" applyBorder="1" applyAlignment="1">
      <alignment horizontal="center" wrapText="1"/>
    </xf>
    <xf numFmtId="2" fontId="3" fillId="4" borderId="23" xfId="0" applyNumberFormat="1" applyFont="1" applyFill="1" applyBorder="1" applyAlignment="1">
      <alignment horizontal="center" wrapText="1"/>
    </xf>
    <xf numFmtId="2" fontId="3" fillId="6" borderId="22" xfId="0" applyNumberFormat="1" applyFont="1" applyFill="1" applyBorder="1" applyAlignment="1">
      <alignment horizontal="center"/>
    </xf>
    <xf numFmtId="2" fontId="3" fillId="6" borderId="23" xfId="0" applyNumberFormat="1" applyFont="1" applyFill="1" applyBorder="1" applyAlignment="1">
      <alignment horizontal="center"/>
    </xf>
    <xf numFmtId="164" fontId="8" fillId="4" borderId="22" xfId="0" applyNumberFormat="1" applyFont="1" applyFill="1" applyBorder="1" applyAlignment="1">
      <alignment horizontal="center"/>
    </xf>
    <xf numFmtId="164" fontId="8" fillId="4" borderId="23" xfId="0" applyNumberFormat="1" applyFont="1" applyFill="1" applyBorder="1" applyAlignment="1">
      <alignment horizontal="center"/>
    </xf>
    <xf numFmtId="164" fontId="3" fillId="0" borderId="48" xfId="0" applyNumberFormat="1" applyFont="1" applyFill="1" applyBorder="1" applyAlignment="1">
      <alignment horizontal="center"/>
    </xf>
    <xf numFmtId="164" fontId="3" fillId="0" borderId="49" xfId="0" applyNumberFormat="1" applyFont="1" applyFill="1" applyBorder="1" applyAlignment="1">
      <alignment horizontal="center"/>
    </xf>
    <xf numFmtId="0" fontId="48" fillId="8" borderId="3" xfId="0" applyFont="1" applyFill="1" applyBorder="1" applyAlignment="1">
      <alignment horizontal="left" vertical="top" wrapText="1"/>
    </xf>
    <xf numFmtId="0" fontId="48" fillId="8" borderId="0" xfId="0" applyFont="1" applyFill="1" applyBorder="1" applyAlignment="1">
      <alignment horizontal="left" vertical="top" wrapText="1"/>
    </xf>
    <xf numFmtId="0" fontId="48" fillId="8" borderId="15" xfId="0" applyFont="1" applyFill="1" applyBorder="1" applyAlignment="1">
      <alignment horizontal="left" vertical="top" wrapText="1"/>
    </xf>
    <xf numFmtId="0" fontId="48" fillId="8" borderId="35" xfId="0" applyFont="1" applyFill="1" applyBorder="1" applyAlignment="1">
      <alignment horizontal="left" vertical="top"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48" fillId="0" borderId="5" xfId="0" applyFont="1" applyFill="1" applyBorder="1" applyAlignment="1">
      <alignment horizontal="center" vertical="center" wrapText="1"/>
    </xf>
    <xf numFmtId="0" fontId="48" fillId="0" borderId="6"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8" fillId="0" borderId="9" xfId="0" applyFont="1" applyFill="1" applyBorder="1" applyAlignment="1">
      <alignment horizontal="center" vertical="center" wrapText="1"/>
    </xf>
    <xf numFmtId="0" fontId="8" fillId="8" borderId="15" xfId="0" applyFont="1" applyFill="1" applyBorder="1" applyAlignment="1">
      <alignment horizontal="center" vertical="center"/>
    </xf>
    <xf numFmtId="0" fontId="8" fillId="8" borderId="17" xfId="0" applyFont="1" applyFill="1" applyBorder="1" applyAlignment="1">
      <alignment horizontal="center" vertical="center"/>
    </xf>
    <xf numFmtId="0" fontId="8" fillId="3" borderId="1" xfId="0" applyFont="1" applyFill="1" applyBorder="1" applyAlignment="1">
      <alignment horizontal="center" wrapText="1"/>
    </xf>
    <xf numFmtId="0" fontId="8" fillId="3" borderId="14" xfId="0" applyFont="1" applyFill="1" applyBorder="1" applyAlignment="1">
      <alignment horizontal="center"/>
    </xf>
    <xf numFmtId="0" fontId="3" fillId="5" borderId="32" xfId="0" applyFont="1" applyFill="1" applyBorder="1" applyAlignment="1">
      <alignment horizontal="center" wrapText="1"/>
    </xf>
    <xf numFmtId="0" fontId="3" fillId="5" borderId="33" xfId="0" applyFont="1" applyFill="1" applyBorder="1" applyAlignment="1">
      <alignment horizontal="center" wrapText="1"/>
    </xf>
    <xf numFmtId="0" fontId="8" fillId="8" borderId="35" xfId="0" applyFont="1" applyFill="1" applyBorder="1" applyAlignment="1">
      <alignment horizontal="center" vertical="center"/>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8" borderId="15" xfId="0" applyFont="1" applyFill="1" applyBorder="1" applyAlignment="1">
      <alignment horizontal="left" vertical="top" wrapText="1"/>
    </xf>
    <xf numFmtId="0" fontId="3" fillId="4" borderId="32" xfId="0" applyFont="1" applyFill="1" applyBorder="1" applyAlignment="1">
      <alignment horizontal="center" wrapText="1"/>
    </xf>
    <xf numFmtId="0" fontId="3" fillId="4" borderId="33" xfId="0" applyFont="1" applyFill="1" applyBorder="1" applyAlignment="1">
      <alignment horizontal="center" wrapText="1"/>
    </xf>
    <xf numFmtId="169" fontId="30" fillId="5" borderId="37" xfId="0" applyNumberFormat="1" applyFont="1" applyFill="1" applyBorder="1" applyAlignment="1">
      <alignment horizontal="center" vertical="center" wrapText="1"/>
    </xf>
    <xf numFmtId="0" fontId="30" fillId="4" borderId="35" xfId="0" applyFont="1" applyFill="1" applyBorder="1" applyAlignment="1">
      <alignment horizontal="center" vertical="center" wrapText="1"/>
    </xf>
    <xf numFmtId="0" fontId="3" fillId="0" borderId="13" xfId="0" applyFont="1" applyFill="1" applyBorder="1" applyAlignment="1">
      <alignment horizontal="center" vertical="top"/>
    </xf>
    <xf numFmtId="0" fontId="3" fillId="0" borderId="21" xfId="0" applyFont="1" applyFill="1" applyBorder="1" applyAlignment="1">
      <alignment horizontal="center" vertical="top"/>
    </xf>
    <xf numFmtId="0" fontId="29" fillId="8" borderId="26" xfId="0" applyFont="1" applyFill="1" applyBorder="1" applyAlignment="1">
      <alignment horizontal="justify" vertical="top" wrapText="1"/>
    </xf>
    <xf numFmtId="0" fontId="6" fillId="8" borderId="42" xfId="0" applyFont="1" applyFill="1" applyBorder="1" applyAlignment="1">
      <alignment horizontal="justify" vertical="top" wrapText="1"/>
    </xf>
    <xf numFmtId="0" fontId="8" fillId="8" borderId="15" xfId="0" applyFont="1" applyFill="1" applyBorder="1" applyAlignment="1">
      <alignment horizontal="left" vertical="top" wrapText="1"/>
    </xf>
    <xf numFmtId="0" fontId="8" fillId="8" borderId="35" xfId="0" applyFont="1" applyFill="1" applyBorder="1" applyAlignment="1">
      <alignment horizontal="left" vertical="top" wrapText="1"/>
    </xf>
    <xf numFmtId="0" fontId="3" fillId="8" borderId="15"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6" fillId="8" borderId="2" xfId="0" applyFont="1" applyFill="1" applyBorder="1" applyAlignment="1">
      <alignment horizontal="justify" vertical="top" wrapText="1"/>
    </xf>
    <xf numFmtId="0" fontId="31" fillId="8" borderId="35" xfId="0" applyFont="1" applyFill="1" applyBorder="1" applyAlignment="1">
      <alignment horizontal="left" vertical="top" wrapText="1"/>
    </xf>
    <xf numFmtId="0" fontId="31" fillId="8" borderId="17" xfId="0" applyFont="1" applyFill="1" applyBorder="1" applyAlignment="1">
      <alignment horizontal="left" vertical="top" wrapText="1"/>
    </xf>
    <xf numFmtId="0" fontId="38" fillId="2" borderId="5"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13" fillId="0" borderId="5" xfId="0" applyFont="1" applyBorder="1" applyAlignment="1">
      <alignment horizontal="left" vertical="center"/>
    </xf>
    <xf numFmtId="0" fontId="4" fillId="0" borderId="0" xfId="1" applyFont="1" applyBorder="1" applyAlignment="1" applyProtection="1">
      <alignment horizontal="left" vertical="center"/>
    </xf>
    <xf numFmtId="0" fontId="41" fillId="0" borderId="5" xfId="0" applyFont="1" applyBorder="1" applyAlignment="1">
      <alignment horizontal="left" vertical="center"/>
    </xf>
    <xf numFmtId="0" fontId="44" fillId="0" borderId="0" xfId="1" applyFont="1" applyBorder="1" applyAlignment="1" applyProtection="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164" fontId="3" fillId="4" borderId="35" xfId="0" applyNumberFormat="1" applyFont="1" applyFill="1" applyBorder="1" applyAlignment="1">
      <alignment horizontal="center" wrapText="1"/>
    </xf>
    <xf numFmtId="164" fontId="3" fillId="5" borderId="37" xfId="0" applyNumberFormat="1" applyFont="1" applyFill="1" applyBorder="1" applyAlignment="1">
      <alignment horizontal="center"/>
    </xf>
  </cellXfs>
  <cellStyles count="9">
    <cellStyle name="Hipersaitas" xfId="1" builtinId="8"/>
    <cellStyle name="Įprastas" xfId="0" builtinId="0"/>
    <cellStyle name="Įprastas 2" xfId="7" xr:uid="{001A3AA0-1EF8-4570-A7C4-DF99649CC0B0}"/>
    <cellStyle name="Įprastas 3" xfId="8" xr:uid="{00000000-0005-0000-0000-00003700000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VLK PSDFvykd" xfId="6" xr:uid="{91D00095-F419-45F2-A0D1-7330231AD8DA}"/>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175260</xdr:rowOff>
    </xdr:from>
    <xdr:to>
      <xdr:col>3</xdr:col>
      <xdr:colOff>3299460</xdr:colOff>
      <xdr:row>0</xdr:row>
      <xdr:rowOff>1244091</xdr:rowOff>
    </xdr:to>
    <xdr:pic>
      <xdr:nvPicPr>
        <xdr:cNvPr id="4" name="Paveikslėlis 3" descr="https://intranetas.vkontrole.lt/sablonai/images/ZENKLAI/Zenklai-horizontalus_LT.png">
          <a:hlinkClick xmlns:r="http://schemas.openxmlformats.org/officeDocument/2006/relationships" r:id="rId1"/>
          <a:extLst>
            <a:ext uri="{FF2B5EF4-FFF2-40B4-BE49-F238E27FC236}">
              <a16:creationId xmlns:a16="http://schemas.microsoft.com/office/drawing/2014/main" id="{555C1308-D846-4E26-AD17-F4B907E31D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2940" y="175260"/>
          <a:ext cx="3223260" cy="1068831"/>
        </a:xfrm>
        <a:prstGeom prst="rect">
          <a:avLst/>
        </a:prstGeom>
        <a:solidFill>
          <a:schemeClr val="accent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908622</xdr:colOff>
      <xdr:row>27</xdr:row>
      <xdr:rowOff>193689</xdr:rowOff>
    </xdr:from>
    <xdr:to>
      <xdr:col>4</xdr:col>
      <xdr:colOff>694577</xdr:colOff>
      <xdr:row>29</xdr:row>
      <xdr:rowOff>109483</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319072" y="9956814"/>
              <a:ext cx="757505" cy="63969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319072" y="9956814"/>
              <a:ext cx="757505" cy="63969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184264</xdr:colOff>
      <xdr:row>34</xdr:row>
      <xdr:rowOff>270096</xdr:rowOff>
    </xdr:from>
    <xdr:to>
      <xdr:col>4</xdr:col>
      <xdr:colOff>1279140</xdr:colOff>
      <xdr:row>35</xdr:row>
      <xdr:rowOff>295702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18514" y="12538296"/>
              <a:ext cx="2066426"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18514" y="12538296"/>
              <a:ext cx="2066426"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twoCellAnchor editAs="oneCell">
    <xdr:from>
      <xdr:col>3</xdr:col>
      <xdr:colOff>439081</xdr:colOff>
      <xdr:row>37</xdr:row>
      <xdr:rowOff>32344</xdr:rowOff>
    </xdr:from>
    <xdr:to>
      <xdr:col>4</xdr:col>
      <xdr:colOff>888909</xdr:colOff>
      <xdr:row>37</xdr:row>
      <xdr:rowOff>468118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73331" y="13748344"/>
              <a:ext cx="1421378"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m:t>
                        </m:r>
                      </m:deg>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e>
                            </m:d>
                          </m:num>
                          <m:den>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−8)</m:t>
                            </m:r>
                          </m:den>
                        </m:f>
                      </m:e>
                    </m:rad>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73331" y="13748344"/>
              <a:ext cx="1421378"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Y_np10t=√(10&amp;(Y^∗ (t+2))/(Y^∗ (t−8)))𝑑_𝑡−1</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31</xdr:row>
      <xdr:rowOff>200504</xdr:rowOff>
    </xdr:from>
    <xdr:to>
      <xdr:col>4</xdr:col>
      <xdr:colOff>890124</xdr:colOff>
      <xdr:row>33</xdr:row>
      <xdr:rowOff>182910</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14</xdr:row>
      <xdr:rowOff>78342</xdr:rowOff>
    </xdr:from>
    <xdr:to>
      <xdr:col>4</xdr:col>
      <xdr:colOff>1025270</xdr:colOff>
      <xdr:row>16</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5</xdr:row>
      <xdr:rowOff>177586</xdr:rowOff>
    </xdr:from>
    <xdr:to>
      <xdr:col>4</xdr:col>
      <xdr:colOff>1194660</xdr:colOff>
      <xdr:row>7</xdr:row>
      <xdr:rowOff>354793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597165</xdr:colOff>
      <xdr:row>35</xdr:row>
      <xdr:rowOff>509532</xdr:rowOff>
    </xdr:from>
    <xdr:to>
      <xdr:col>4</xdr:col>
      <xdr:colOff>869238</xdr:colOff>
      <xdr:row>36</xdr:row>
      <xdr:rowOff>53296</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31415" y="13082532"/>
              <a:ext cx="1243623" cy="42006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31415" y="13082532"/>
              <a:ext cx="1243623" cy="42006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xdr:from>
      <xdr:col>3</xdr:col>
      <xdr:colOff>180975</xdr:colOff>
      <xdr:row>39</xdr:row>
      <xdr:rowOff>200024</xdr:rowOff>
    </xdr:from>
    <xdr:to>
      <xdr:col>4</xdr:col>
      <xdr:colOff>1186660</xdr:colOff>
      <xdr:row>40</xdr:row>
      <xdr:rowOff>0</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63CFE38-61B3-4C8E-B9B0-D146ACE20485}"/>
                </a:ext>
              </a:extLst>
            </xdr:cNvPr>
            <xdr:cNvSpPr txBox="1"/>
          </xdr:nvSpPr>
          <xdr:spPr>
            <a:xfrm>
              <a:off x="7591425" y="14716124"/>
              <a:ext cx="197723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VI</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VI</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9" name="TextBox 8">
              <a:extLst>
                <a:ext uri="{FF2B5EF4-FFF2-40B4-BE49-F238E27FC236}">
                  <a16:creationId xmlns:a16="http://schemas.microsoft.com/office/drawing/2014/main" id="{063CFE38-61B3-4C8E-B9B0-D146ACE20485}"/>
                </a:ext>
              </a:extLst>
            </xdr:cNvPr>
            <xdr:cNvSpPr txBox="1"/>
          </xdr:nvSpPr>
          <xdr:spPr>
            <a:xfrm>
              <a:off x="7591425" y="14716124"/>
              <a:ext cx="197723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VI</a:t>
              </a:r>
              <a:r>
                <a:rPr lang="en-US" sz="800" b="0" i="0">
                  <a:latin typeface="Cambria Math" panose="02040503050406030204" pitchFamily="18" charset="0"/>
                </a:rPr>
                <a:t>(t)−ES(t))/(</a:t>
              </a:r>
              <a:r>
                <a:rPr lang="lt-LT" sz="800" b="0" i="0">
                  <a:latin typeface="Cambria Math" panose="02040503050406030204" pitchFamily="18" charset="0"/>
                </a:rPr>
                <a:t>VI</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wsDr>
</file>

<file path=xl/theme/theme1.xml><?xml version="1.0" encoding="utf-8"?>
<a:theme xmlns:a="http://schemas.openxmlformats.org/drawingml/2006/main" name="„Office“ tema">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rgb="FF00244D"/>
  </sheetPr>
  <dimension ref="C1:G32"/>
  <sheetViews>
    <sheetView showGridLines="0" showRowColHeaders="0" tabSelected="1" workbookViewId="0">
      <selection activeCell="B1" sqref="B1"/>
    </sheetView>
  </sheetViews>
  <sheetFormatPr defaultColWidth="10" defaultRowHeight="13.8" x14ac:dyDescent="0.25"/>
  <cols>
    <col min="1" max="1" width="0.44140625" style="221" customWidth="1"/>
    <col min="2" max="2" width="3.5546875" style="221" customWidth="1"/>
    <col min="3" max="3" width="4.5546875" style="254" customWidth="1"/>
    <col min="4" max="4" width="99.6640625" style="254" customWidth="1"/>
    <col min="5" max="5" width="3.6640625" style="221" customWidth="1"/>
    <col min="6" max="6" width="10" style="221"/>
    <col min="7" max="7" width="10.5546875" style="221" customWidth="1"/>
    <col min="8" max="16384" width="10" style="221"/>
  </cols>
  <sheetData>
    <row r="1" spans="3:7" ht="109.5" customHeight="1" thickBot="1" x14ac:dyDescent="0.3">
      <c r="C1" s="291"/>
      <c r="D1" s="292"/>
      <c r="E1" s="293"/>
    </row>
    <row r="2" spans="3:7" x14ac:dyDescent="0.25">
      <c r="C2" s="239"/>
      <c r="D2" s="240"/>
      <c r="E2" s="241"/>
    </row>
    <row r="3" spans="3:7" ht="35.25" customHeight="1" x14ac:dyDescent="0.25">
      <c r="C3" s="477" t="s">
        <v>0</v>
      </c>
      <c r="D3" s="478"/>
      <c r="E3" s="242"/>
    </row>
    <row r="4" spans="3:7" x14ac:dyDescent="0.25">
      <c r="C4" s="243"/>
      <c r="D4" s="244"/>
      <c r="E4" s="245"/>
    </row>
    <row r="5" spans="3:7" ht="16.2" customHeight="1" x14ac:dyDescent="0.25">
      <c r="C5" s="294" t="s">
        <v>321</v>
      </c>
      <c r="D5" s="295"/>
      <c r="E5" s="246"/>
      <c r="G5" s="247"/>
    </row>
    <row r="6" spans="3:7" x14ac:dyDescent="0.25">
      <c r="C6" s="243"/>
      <c r="D6" s="244"/>
      <c r="E6" s="245"/>
    </row>
    <row r="7" spans="3:7" ht="17.399999999999999" x14ac:dyDescent="0.3">
      <c r="C7" s="296" t="s">
        <v>1</v>
      </c>
      <c r="D7" s="297"/>
      <c r="E7" s="248"/>
    </row>
    <row r="8" spans="3:7" x14ac:dyDescent="0.25">
      <c r="C8" s="243"/>
      <c r="D8" s="244"/>
      <c r="E8" s="245"/>
    </row>
    <row r="9" spans="3:7" ht="171.75" customHeight="1" x14ac:dyDescent="0.25">
      <c r="C9" s="243"/>
      <c r="D9" s="249" t="s">
        <v>278</v>
      </c>
      <c r="E9" s="250"/>
    </row>
    <row r="10" spans="3:7" x14ac:dyDescent="0.25">
      <c r="C10" s="243"/>
      <c r="D10" s="244"/>
      <c r="E10" s="245"/>
    </row>
    <row r="11" spans="3:7" ht="17.399999999999999" x14ac:dyDescent="0.3">
      <c r="C11" s="296" t="s">
        <v>279</v>
      </c>
      <c r="D11" s="297"/>
      <c r="E11" s="248"/>
    </row>
    <row r="12" spans="3:7" x14ac:dyDescent="0.25">
      <c r="C12" s="243"/>
      <c r="D12" s="244"/>
      <c r="E12" s="245"/>
    </row>
    <row r="13" spans="3:7" x14ac:dyDescent="0.25">
      <c r="C13" s="243"/>
      <c r="D13" s="255" t="s">
        <v>2</v>
      </c>
      <c r="E13" s="245"/>
    </row>
    <row r="14" spans="3:7" x14ac:dyDescent="0.25">
      <c r="C14" s="243"/>
      <c r="D14" s="244"/>
      <c r="E14" s="245"/>
    </row>
    <row r="15" spans="3:7" ht="17.399999999999999" x14ac:dyDescent="0.3">
      <c r="C15" s="296" t="s">
        <v>3</v>
      </c>
      <c r="D15" s="297"/>
      <c r="E15" s="248"/>
    </row>
    <row r="16" spans="3:7" x14ac:dyDescent="0.25">
      <c r="C16" s="243"/>
      <c r="D16" s="244"/>
      <c r="E16" s="245"/>
    </row>
    <row r="17" spans="3:5" x14ac:dyDescent="0.25">
      <c r="C17" s="243"/>
      <c r="D17" s="255" t="s">
        <v>4</v>
      </c>
      <c r="E17" s="245"/>
    </row>
    <row r="18" spans="3:5" x14ac:dyDescent="0.25">
      <c r="C18" s="243"/>
      <c r="D18" s="255" t="s">
        <v>5</v>
      </c>
      <c r="E18" s="245"/>
    </row>
    <row r="19" spans="3:5" x14ac:dyDescent="0.25">
      <c r="C19" s="243"/>
      <c r="D19" s="244"/>
      <c r="E19" s="245"/>
    </row>
    <row r="20" spans="3:5" ht="17.399999999999999" x14ac:dyDescent="0.3">
      <c r="C20" s="296" t="s">
        <v>6</v>
      </c>
      <c r="D20" s="297"/>
      <c r="E20" s="248"/>
    </row>
    <row r="21" spans="3:5" x14ac:dyDescent="0.25">
      <c r="C21" s="243"/>
      <c r="D21" s="244"/>
      <c r="E21" s="245"/>
    </row>
    <row r="22" spans="3:5" x14ac:dyDescent="0.25">
      <c r="C22" s="243"/>
      <c r="D22" s="255" t="s">
        <v>7</v>
      </c>
      <c r="E22" s="245"/>
    </row>
    <row r="23" spans="3:5" x14ac:dyDescent="0.25">
      <c r="C23" s="243"/>
      <c r="D23" s="255" t="s">
        <v>8</v>
      </c>
      <c r="E23" s="245"/>
    </row>
    <row r="24" spans="3:5" x14ac:dyDescent="0.25">
      <c r="C24" s="243"/>
      <c r="D24" s="255" t="s">
        <v>9</v>
      </c>
      <c r="E24" s="245"/>
    </row>
    <row r="25" spans="3:5" x14ac:dyDescent="0.25">
      <c r="C25" s="243"/>
      <c r="D25" s="244"/>
      <c r="E25" s="245"/>
    </row>
    <row r="26" spans="3:5" ht="17.399999999999999" x14ac:dyDescent="0.3">
      <c r="C26" s="296" t="s">
        <v>10</v>
      </c>
      <c r="D26" s="297"/>
      <c r="E26" s="251"/>
    </row>
    <row r="27" spans="3:5" x14ac:dyDescent="0.25">
      <c r="C27" s="243"/>
      <c r="D27" s="244"/>
      <c r="E27" s="245"/>
    </row>
    <row r="28" spans="3:5" x14ac:dyDescent="0.25">
      <c r="C28" s="479" t="s">
        <v>11</v>
      </c>
      <c r="D28" s="480" t="s">
        <v>12</v>
      </c>
      <c r="E28" s="245"/>
    </row>
    <row r="29" spans="3:5" ht="14.4" x14ac:dyDescent="0.25">
      <c r="C29" s="481" t="s">
        <v>13</v>
      </c>
      <c r="D29" s="482" t="s">
        <v>14</v>
      </c>
      <c r="E29" s="252"/>
    </row>
    <row r="30" spans="3:5" x14ac:dyDescent="0.25">
      <c r="C30" s="479" t="s">
        <v>15</v>
      </c>
      <c r="D30" s="480" t="s">
        <v>16</v>
      </c>
      <c r="E30" s="245"/>
    </row>
    <row r="31" spans="3:5" ht="14.4" x14ac:dyDescent="0.25">
      <c r="C31" s="481" t="s">
        <v>17</v>
      </c>
      <c r="D31" s="482" t="s">
        <v>18</v>
      </c>
      <c r="E31" s="252"/>
    </row>
    <row r="32" spans="3:5" ht="9.6" customHeight="1" thickBot="1" x14ac:dyDescent="0.3">
      <c r="C32" s="483"/>
      <c r="D32" s="484"/>
      <c r="E32" s="253"/>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rgb="FF47ABD9"/>
  </sheetPr>
  <dimension ref="A1:E36"/>
  <sheetViews>
    <sheetView showGridLines="0" showRowColHeaders="0" topLeftCell="B1" zoomScaleNormal="100" workbookViewId="0">
      <selection activeCell="B1" sqref="B1"/>
    </sheetView>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222" t="s">
        <v>19</v>
      </c>
      <c r="C1" s="3"/>
      <c r="D1" s="3"/>
    </row>
    <row r="2" spans="1:4" ht="14.4" thickBot="1" x14ac:dyDescent="0.3">
      <c r="A2" s="4" t="s">
        <v>20</v>
      </c>
    </row>
    <row r="3" spans="1:4" ht="35.25" customHeight="1" thickTop="1" thickBot="1" x14ac:dyDescent="0.3">
      <c r="B3" s="305" t="s">
        <v>323</v>
      </c>
      <c r="C3" s="306"/>
      <c r="D3" s="307"/>
    </row>
    <row r="4" spans="1:4" ht="17.25" customHeight="1" thickBot="1" x14ac:dyDescent="0.3">
      <c r="B4" s="85" t="s">
        <v>21</v>
      </c>
      <c r="C4" s="308"/>
      <c r="D4" s="309"/>
    </row>
    <row r="5" spans="1:4" ht="33" customHeight="1" thickBot="1" x14ac:dyDescent="0.35">
      <c r="B5" s="6" t="s">
        <v>22</v>
      </c>
      <c r="C5" s="86" t="s">
        <v>23</v>
      </c>
      <c r="D5" s="7" t="s">
        <v>24</v>
      </c>
    </row>
    <row r="6" spans="1:4" ht="17.399999999999999" customHeight="1" thickBot="1" x14ac:dyDescent="0.3">
      <c r="B6" s="300" t="s">
        <v>25</v>
      </c>
      <c r="C6" s="301"/>
      <c r="D6" s="302"/>
    </row>
    <row r="7" spans="1:4" ht="17.399999999999999" customHeight="1" thickBot="1" x14ac:dyDescent="0.3">
      <c r="B7" s="303" t="s">
        <v>26</v>
      </c>
      <c r="C7" s="155" t="str">
        <f>'4. SurplusGG'!E20</f>
        <v>Netaikoma</v>
      </c>
      <c r="D7" s="236" t="str">
        <f>'4. SurplusGG'!F20</f>
        <v>Netaikoma</v>
      </c>
    </row>
    <row r="8" spans="1:4" ht="53.4" customHeight="1" x14ac:dyDescent="0.25">
      <c r="B8" s="304"/>
      <c r="C8" s="156" t="str">
        <f>'4. SurplusGG'!E21</f>
        <v>Paskelbtos išskirtinės aplinkybės</v>
      </c>
      <c r="D8" s="175" t="str">
        <f>'4. SurplusGG'!F21</f>
        <v>Paskelbtos išskirtinės aplinkybės</v>
      </c>
    </row>
    <row r="9" spans="1:4" ht="15.75" customHeight="1" thickBot="1" x14ac:dyDescent="0.3">
      <c r="B9" s="310" t="s">
        <v>27</v>
      </c>
      <c r="C9" s="173" t="str">
        <f>'4. SurplusGG'!E22</f>
        <v>Not applicable</v>
      </c>
      <c r="D9" s="237" t="str">
        <f>'4. SurplusGG'!F22</f>
        <v>Not applicable</v>
      </c>
    </row>
    <row r="10" spans="1:4" ht="33" customHeight="1" thickBot="1" x14ac:dyDescent="0.3">
      <c r="B10" s="311"/>
      <c r="C10" s="174" t="str">
        <f>'4. SurplusGG'!E23</f>
        <v>Exceptional circumstances</v>
      </c>
      <c r="D10" s="238" t="str">
        <f>'4. SurplusGG'!F23</f>
        <v>Exceptional circumstances</v>
      </c>
    </row>
    <row r="11" spans="1:4" ht="17.25" customHeight="1" x14ac:dyDescent="0.25">
      <c r="B11" s="205" t="s">
        <v>28</v>
      </c>
      <c r="C11" s="298" t="str">
        <f>'4. SurplusGG'!E6</f>
        <v>Taip</v>
      </c>
      <c r="D11" s="299"/>
    </row>
    <row r="12" spans="1:4" ht="17.25" customHeight="1" thickBot="1" x14ac:dyDescent="0.3">
      <c r="B12" s="206" t="s">
        <v>29</v>
      </c>
      <c r="C12" s="312" t="str">
        <f>'4. SurplusGG'!E7</f>
        <v>Yes</v>
      </c>
      <c r="D12" s="313"/>
    </row>
    <row r="13" spans="1:4" ht="21" customHeight="1" thickBot="1" x14ac:dyDescent="0.3">
      <c r="B13" s="300" t="s">
        <v>30</v>
      </c>
      <c r="C13" s="301"/>
      <c r="D13" s="302"/>
    </row>
    <row r="14" spans="1:4" ht="18" customHeight="1" x14ac:dyDescent="0.25">
      <c r="B14" s="318" t="s">
        <v>31</v>
      </c>
      <c r="C14" s="8" t="str">
        <f>'5. GGexpenditure'!F27</f>
        <v>Taip</v>
      </c>
      <c r="D14" s="87" t="str">
        <f>'5. GGexpenditure'!G27</f>
        <v>Ne</v>
      </c>
    </row>
    <row r="15" spans="1:4" ht="37.5" customHeight="1" x14ac:dyDescent="0.25">
      <c r="B15" s="319"/>
      <c r="C15" s="168" t="str">
        <f>'5. GGexpenditure'!F28</f>
        <v>Susidaro A5 aplinkybė</v>
      </c>
      <c r="D15" s="157" t="str">
        <f>'5. GGexpenditure'!G28</f>
        <v>Išimčių nėra</v>
      </c>
    </row>
    <row r="16" spans="1:4" ht="18" customHeight="1" x14ac:dyDescent="0.25">
      <c r="B16" s="320" t="s">
        <v>32</v>
      </c>
      <c r="C16" s="169" t="str">
        <f>'5. GGexpenditure'!F29</f>
        <v>Yes</v>
      </c>
      <c r="D16" s="170" t="str">
        <f>'5. GGexpenditure'!G29</f>
        <v>No</v>
      </c>
    </row>
    <row r="17" spans="2:4" ht="52.5" customHeight="1" thickBot="1" x14ac:dyDescent="0.3">
      <c r="B17" s="320"/>
      <c r="C17" s="171" t="str">
        <f>'5. GGexpenditure'!F30</f>
        <v>Escape clause A5 emerge</v>
      </c>
      <c r="D17" s="172" t="str">
        <f>'5. GGexpenditure'!G30</f>
        <v>No escape clauses emerge</v>
      </c>
    </row>
    <row r="18" spans="2:4" ht="22.5" customHeight="1" x14ac:dyDescent="0.25">
      <c r="B18" s="318" t="s">
        <v>33</v>
      </c>
      <c r="C18" s="151" t="str">
        <f>'5. GGexpenditure'!F35</f>
        <v>Netaikoma</v>
      </c>
      <c r="D18" s="193" t="str">
        <f>'5. GGexpenditure'!G35</f>
        <v>Netaikoma</v>
      </c>
    </row>
    <row r="19" spans="2:4" ht="69" customHeight="1" x14ac:dyDescent="0.25">
      <c r="B19" s="319"/>
      <c r="C19" s="152" t="str">
        <f>'5. GGexpenditure'!F36</f>
        <v>Susidarė viena iš KĮ numatytų netaikymo aplinkybių</v>
      </c>
      <c r="D19" s="192" t="str">
        <f>'5. GGexpenditure'!G36</f>
        <v>Paskelbtos išskirtinės aplinkybės</v>
      </c>
    </row>
    <row r="20" spans="2:4" ht="14.4" x14ac:dyDescent="0.25">
      <c r="B20" s="320" t="s">
        <v>34</v>
      </c>
      <c r="C20" s="169" t="str">
        <f>'5. GGexpenditure'!F37</f>
        <v>Not applied</v>
      </c>
      <c r="D20" s="170" t="str">
        <f>'5. GGexpenditure'!G37</f>
        <v>Not applied</v>
      </c>
    </row>
    <row r="21" spans="2:4" ht="64.5" customHeight="1" thickBot="1" x14ac:dyDescent="0.3">
      <c r="B21" s="321"/>
      <c r="C21" s="90" t="str">
        <f>'5. GGexpenditure'!F38</f>
        <v>CL escape clause emerged</v>
      </c>
      <c r="D21" s="191" t="str">
        <f>'5. GGexpenditure'!G38</f>
        <v>Exceptional circumstances</v>
      </c>
    </row>
    <row r="22" spans="2:4" ht="19.5" customHeight="1" x14ac:dyDescent="0.25">
      <c r="B22" s="205" t="s">
        <v>35</v>
      </c>
      <c r="C22" s="168" t="s">
        <v>36</v>
      </c>
      <c r="D22" s="175" t="s">
        <v>37</v>
      </c>
    </row>
    <row r="23" spans="2:4" ht="15" thickBot="1" x14ac:dyDescent="0.3">
      <c r="B23" s="206" t="s">
        <v>38</v>
      </c>
      <c r="C23" s="90" t="s">
        <v>39</v>
      </c>
      <c r="D23" s="165" t="s">
        <v>39</v>
      </c>
    </row>
    <row r="24" spans="2:4" ht="15.75" customHeight="1" thickBot="1" x14ac:dyDescent="0.3">
      <c r="B24" s="300" t="s">
        <v>40</v>
      </c>
      <c r="C24" s="301" t="s">
        <v>41</v>
      </c>
      <c r="D24" s="302"/>
    </row>
    <row r="25" spans="2:4" ht="82.8" x14ac:dyDescent="0.25">
      <c r="B25" s="205" t="s">
        <v>42</v>
      </c>
      <c r="C25" s="84" t="str">
        <f>'6. GGbudgets'!E6:E6</f>
        <v>Savivaldybių biudžetų atitiktis fiskalinės drausmės taisyklėms bus vertinama 2022 m. birželio mėn.</v>
      </c>
      <c r="D25" s="162" t="str">
        <f>'6. GGbudgets'!F6:F6</f>
        <v>Savivaldybių biudžetų atitiktis fiskalinės drausmės taisyklėms bus vertinama 2022 m. birželio mėn.</v>
      </c>
    </row>
    <row r="26" spans="2:4" ht="29.4" thickBot="1" x14ac:dyDescent="0.3">
      <c r="B26" s="206" t="s">
        <v>43</v>
      </c>
      <c r="C26" s="89" t="str">
        <f>'6. GGbudgets'!E7:E7</f>
        <v>Will be assessed in June 2022</v>
      </c>
      <c r="D26" s="163" t="str">
        <f>'6. GGbudgets'!F7:F7</f>
        <v>Will be assessed in June 2022</v>
      </c>
    </row>
    <row r="27" spans="2:4" x14ac:dyDescent="0.25">
      <c r="B27" s="205" t="s">
        <v>44</v>
      </c>
      <c r="C27" s="151" t="str">
        <f>'6. GGbudgets'!E12</f>
        <v>Tenkinama</v>
      </c>
      <c r="D27" s="164" t="str">
        <f>'6. GGbudgets'!F12</f>
        <v>Tenkinama</v>
      </c>
    </row>
    <row r="28" spans="2:4" ht="15" thickBot="1" x14ac:dyDescent="0.3">
      <c r="B28" s="206" t="s">
        <v>45</v>
      </c>
      <c r="C28" s="90" t="str">
        <f>'6. GGbudgets'!E13</f>
        <v>Valid</v>
      </c>
      <c r="D28" s="165" t="str">
        <f>'6. GGbudgets'!F13</f>
        <v>Valid</v>
      </c>
    </row>
    <row r="29" spans="2:4" x14ac:dyDescent="0.25">
      <c r="B29" s="199" t="s">
        <v>46</v>
      </c>
      <c r="C29" s="152" t="str">
        <f>'6. GGbudgets'!E20</f>
        <v>Tenkinama</v>
      </c>
      <c r="D29" s="166" t="str">
        <f>'6. GGbudgets'!F20</f>
        <v>Tenkinama</v>
      </c>
    </row>
    <row r="30" spans="2:4" ht="15" thickBot="1" x14ac:dyDescent="0.3">
      <c r="B30" s="200" t="s">
        <v>47</v>
      </c>
      <c r="C30" s="220" t="str">
        <f>'6. GGbudgets'!E21</f>
        <v>Valid</v>
      </c>
      <c r="D30" s="167" t="str">
        <f>'6. GGbudgets'!F21</f>
        <v>Valid</v>
      </c>
    </row>
    <row r="31" spans="2:4" ht="121.5" customHeight="1" x14ac:dyDescent="0.25">
      <c r="B31" s="202" t="s">
        <v>48</v>
      </c>
      <c r="C31" s="151" t="str">
        <f>'6. GGbudgets'!E22</f>
        <v>Savivaldybių biudžetų atitiktis fiskalinės drausmės taisyklėms bus vertinama 2022 m. birželio mėn.</v>
      </c>
      <c r="D31" s="164" t="str">
        <f>'6. GGbudgets'!F22</f>
        <v>Savivaldybių biudžetų atitiktis fiskalinės drausmės taisyklėms bus vertinama 2022 m. birželio mėn.</v>
      </c>
    </row>
    <row r="32" spans="2:4" ht="48.75" customHeight="1" thickBot="1" x14ac:dyDescent="0.3">
      <c r="B32" s="201" t="s">
        <v>49</v>
      </c>
      <c r="C32" s="203" t="str">
        <f>'6. GGbudgets'!E23</f>
        <v>Will be assessed in June 2022</v>
      </c>
      <c r="D32" s="204" t="str">
        <f>'6. GGbudgets'!F23</f>
        <v>Will be assessed in June 2022</v>
      </c>
    </row>
    <row r="33" spans="2:5" ht="14.4" thickTop="1" x14ac:dyDescent="0.25">
      <c r="B33" s="83"/>
      <c r="C33" s="83"/>
      <c r="D33" s="83"/>
    </row>
    <row r="34" spans="2:5" ht="15" thickBot="1" x14ac:dyDescent="0.35">
      <c r="B34" s="10" t="s">
        <v>50</v>
      </c>
      <c r="C34" s="10"/>
      <c r="D34" s="10"/>
      <c r="E34" s="134" t="s">
        <v>51</v>
      </c>
    </row>
    <row r="35" spans="2:5" ht="15" thickBot="1" x14ac:dyDescent="0.35">
      <c r="B35" s="11" t="s">
        <v>52</v>
      </c>
      <c r="C35" s="314" t="s">
        <v>23</v>
      </c>
      <c r="D35" s="315"/>
      <c r="E35" s="134" t="s">
        <v>53</v>
      </c>
    </row>
    <row r="36" spans="2:5" ht="15" thickBot="1" x14ac:dyDescent="0.35">
      <c r="B36" s="11" t="s">
        <v>54</v>
      </c>
      <c r="C36" s="316" t="s">
        <v>24</v>
      </c>
      <c r="D36" s="317"/>
      <c r="E36" s="233" t="s">
        <v>55</v>
      </c>
    </row>
  </sheetData>
  <mergeCells count="15">
    <mergeCell ref="B24:D24"/>
    <mergeCell ref="C35:D35"/>
    <mergeCell ref="C36:D36"/>
    <mergeCell ref="B14:B15"/>
    <mergeCell ref="B16:B17"/>
    <mergeCell ref="B20:B21"/>
    <mergeCell ref="B18:B19"/>
    <mergeCell ref="C11:D11"/>
    <mergeCell ref="B13:D13"/>
    <mergeCell ref="B7:B8"/>
    <mergeCell ref="B3:D3"/>
    <mergeCell ref="B6:D6"/>
    <mergeCell ref="C4:D4"/>
    <mergeCell ref="B9:B10"/>
    <mergeCell ref="C12:D12"/>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5"/>
  </sheetPr>
  <dimension ref="A1:S62"/>
  <sheetViews>
    <sheetView showGridLines="0" showRowColHeaders="0" zoomScaleNormal="100" workbookViewId="0">
      <pane ySplit="5" topLeftCell="A6" activePane="bottomLeft" state="frozen"/>
      <selection pane="bottomLeft" activeCell="B1" sqref="B1"/>
    </sheetView>
  </sheetViews>
  <sheetFormatPr defaultColWidth="10" defaultRowHeight="13.8" x14ac:dyDescent="0.25"/>
  <cols>
    <col min="1" max="1" width="4.5546875" style="1" customWidth="1"/>
    <col min="2" max="2" width="49.109375" style="1" customWidth="1"/>
    <col min="3" max="3" width="40.88671875" style="1" customWidth="1"/>
    <col min="4" max="4" width="21.109375" style="1" customWidth="1"/>
    <col min="5" max="8" width="11.44140625" style="1" customWidth="1"/>
    <col min="9" max="9" width="11.6640625" style="1" customWidth="1"/>
    <col min="10" max="12" width="11.44140625" style="1" customWidth="1"/>
    <col min="13" max="13" width="11.6640625" style="221" customWidth="1"/>
    <col min="14" max="16" width="11.44140625" style="221" customWidth="1"/>
    <col min="17" max="16384" width="10" style="1"/>
  </cols>
  <sheetData>
    <row r="1" spans="1:19" x14ac:dyDescent="0.25">
      <c r="B1" s="222" t="s">
        <v>19</v>
      </c>
      <c r="C1" s="3"/>
      <c r="D1" s="3"/>
    </row>
    <row r="2" spans="1:19" ht="14.4" thickBot="1" x14ac:dyDescent="0.3">
      <c r="A2" s="12" t="s">
        <v>20</v>
      </c>
      <c r="B2" s="13"/>
      <c r="C2" s="13"/>
      <c r="M2" s="228"/>
      <c r="N2" s="228"/>
      <c r="O2" s="228"/>
      <c r="P2" s="228"/>
    </row>
    <row r="3" spans="1:19" ht="40.200000000000003" customHeight="1" thickBot="1" x14ac:dyDescent="0.3">
      <c r="B3" s="339" t="s">
        <v>56</v>
      </c>
      <c r="C3" s="340"/>
      <c r="D3" s="340"/>
      <c r="E3" s="340"/>
      <c r="F3" s="340"/>
      <c r="G3" s="340"/>
      <c r="H3" s="340"/>
      <c r="I3" s="340"/>
      <c r="J3" s="340"/>
      <c r="K3" s="340"/>
      <c r="L3" s="340"/>
      <c r="M3" s="340"/>
      <c r="N3" s="340"/>
      <c r="O3" s="340"/>
      <c r="P3" s="341"/>
    </row>
    <row r="4" spans="1:19" ht="22.95" customHeight="1" thickBot="1" x14ac:dyDescent="0.3">
      <c r="B4" s="330" t="s">
        <v>57</v>
      </c>
      <c r="C4" s="330" t="s">
        <v>58</v>
      </c>
      <c r="D4" s="337" t="s">
        <v>59</v>
      </c>
      <c r="E4" s="327"/>
      <c r="F4" s="327"/>
      <c r="G4" s="327"/>
      <c r="H4" s="327"/>
      <c r="I4" s="327"/>
      <c r="J4" s="327"/>
      <c r="K4" s="327"/>
      <c r="L4" s="328"/>
      <c r="M4" s="326" t="s">
        <v>324</v>
      </c>
      <c r="N4" s="327"/>
      <c r="O4" s="327"/>
      <c r="P4" s="328"/>
    </row>
    <row r="5" spans="1:19" ht="20.25" customHeight="1" thickBot="1" x14ac:dyDescent="0.3">
      <c r="B5" s="330"/>
      <c r="C5" s="330"/>
      <c r="D5" s="337"/>
      <c r="E5" s="14">
        <v>2014</v>
      </c>
      <c r="F5" s="14">
        <f>E5+1</f>
        <v>2015</v>
      </c>
      <c r="G5" s="14">
        <f t="shared" ref="G5:L5" si="0">F5+1</f>
        <v>2016</v>
      </c>
      <c r="H5" s="14">
        <f t="shared" si="0"/>
        <v>2017</v>
      </c>
      <c r="I5" s="14">
        <f t="shared" si="0"/>
        <v>2018</v>
      </c>
      <c r="J5" s="14">
        <f t="shared" si="0"/>
        <v>2019</v>
      </c>
      <c r="K5" s="14">
        <f t="shared" si="0"/>
        <v>2020</v>
      </c>
      <c r="L5" s="14">
        <f t="shared" si="0"/>
        <v>2021</v>
      </c>
      <c r="M5" s="14" t="str">
        <f>CONCATENATE(L5+1,"N")</f>
        <v>2022N</v>
      </c>
      <c r="N5" s="14" t="str">
        <f>CONCATENATE(L5+2,"P")</f>
        <v>2023P</v>
      </c>
      <c r="O5" s="14" t="str">
        <f>CONCATENATE(L5+3,"P")</f>
        <v>2024P</v>
      </c>
      <c r="P5" s="14" t="str">
        <f>CONCATENATE(L5+4,"P")</f>
        <v>2025P</v>
      </c>
    </row>
    <row r="6" spans="1:19" ht="14.4" thickBot="1" x14ac:dyDescent="0.3">
      <c r="B6" s="107" t="s">
        <v>60</v>
      </c>
      <c r="C6" s="107" t="s">
        <v>61</v>
      </c>
      <c r="D6" s="159"/>
      <c r="E6" s="15" t="s">
        <v>281</v>
      </c>
      <c r="F6" s="15" t="s">
        <v>282</v>
      </c>
      <c r="G6" s="15" t="s">
        <v>283</v>
      </c>
      <c r="H6" s="15" t="s">
        <v>284</v>
      </c>
      <c r="I6" s="15" t="s">
        <v>285</v>
      </c>
      <c r="J6" s="15" t="s">
        <v>286</v>
      </c>
      <c r="K6" s="15" t="s">
        <v>62</v>
      </c>
      <c r="L6" s="15" t="s">
        <v>63</v>
      </c>
      <c r="M6" s="15" t="s">
        <v>64</v>
      </c>
      <c r="N6" s="15" t="s">
        <v>65</v>
      </c>
      <c r="O6" s="15" t="s">
        <v>66</v>
      </c>
      <c r="P6" s="15" t="s">
        <v>67</v>
      </c>
    </row>
    <row r="7" spans="1:19" ht="14.4" thickBot="1" x14ac:dyDescent="0.3">
      <c r="B7" s="331" t="s">
        <v>68</v>
      </c>
      <c r="C7" s="338" t="s">
        <v>69</v>
      </c>
      <c r="D7" s="16">
        <v>44665</v>
      </c>
      <c r="E7" s="17">
        <v>36581.300000000003</v>
      </c>
      <c r="F7" s="17">
        <v>37345.699999999997</v>
      </c>
      <c r="G7" s="17">
        <v>38889.9</v>
      </c>
      <c r="H7" s="17">
        <v>42276.3</v>
      </c>
      <c r="I7" s="17">
        <v>45514.8</v>
      </c>
      <c r="J7" s="17">
        <v>48859.9</v>
      </c>
      <c r="K7" s="17">
        <v>49507.199999999997</v>
      </c>
      <c r="L7" s="17">
        <v>55383.1</v>
      </c>
      <c r="M7" s="21">
        <f>L7*(1+M9/100)</f>
        <v>60286.175321701536</v>
      </c>
      <c r="N7" s="21">
        <f t="shared" ref="N7:O7" si="1">M7*(1+N9/100)</f>
        <v>63648.528999527553</v>
      </c>
      <c r="O7" s="21">
        <f t="shared" si="1"/>
        <v>66838.522348941697</v>
      </c>
      <c r="P7" s="21">
        <f>O7*(1+P9/100)</f>
        <v>70196.395369357575</v>
      </c>
    </row>
    <row r="8" spans="1:19" ht="14.4" thickBot="1" x14ac:dyDescent="0.3">
      <c r="B8" s="332"/>
      <c r="C8" s="338"/>
      <c r="D8" s="16">
        <v>44651</v>
      </c>
      <c r="E8" s="17">
        <v>36581.311000000002</v>
      </c>
      <c r="F8" s="17">
        <v>37345.697999999997</v>
      </c>
      <c r="G8" s="17">
        <v>38889.862000000001</v>
      </c>
      <c r="H8" s="17">
        <v>42276.296999999999</v>
      </c>
      <c r="I8" s="17">
        <v>45514.803</v>
      </c>
      <c r="J8" s="17">
        <v>48859.87</v>
      </c>
      <c r="K8" s="17">
        <v>49507.222999999998</v>
      </c>
      <c r="L8" s="17">
        <v>55325.584999999999</v>
      </c>
      <c r="M8" s="22">
        <v>60223.56832429699</v>
      </c>
      <c r="N8" s="22">
        <v>63582.430208741564</v>
      </c>
      <c r="O8" s="22">
        <v>66769.110760415904</v>
      </c>
      <c r="P8" s="22">
        <v>70123.496640598518</v>
      </c>
    </row>
    <row r="9" spans="1:19" ht="14.4" thickBot="1" x14ac:dyDescent="0.3">
      <c r="B9" s="331" t="s">
        <v>70</v>
      </c>
      <c r="C9" s="329" t="s">
        <v>71</v>
      </c>
      <c r="D9" s="16">
        <f>$D$7</f>
        <v>44665</v>
      </c>
      <c r="E9" s="18"/>
      <c r="F9" s="18">
        <f t="shared" ref="F9:K9" si="2">(F7/E7-1)*100</f>
        <v>2.0895922233490793</v>
      </c>
      <c r="G9" s="18">
        <f t="shared" si="2"/>
        <v>4.1348803208937079</v>
      </c>
      <c r="H9" s="18">
        <f t="shared" si="2"/>
        <v>8.7076593151435233</v>
      </c>
      <c r="I9" s="18">
        <f t="shared" si="2"/>
        <v>7.6603203213147841</v>
      </c>
      <c r="J9" s="18">
        <f t="shared" si="2"/>
        <v>7.3494775325828154</v>
      </c>
      <c r="K9" s="18">
        <f t="shared" si="2"/>
        <v>1.324808278363232</v>
      </c>
      <c r="L9" s="18">
        <f>(L7/K7-1)*100</f>
        <v>11.868778682696668</v>
      </c>
      <c r="M9" s="22">
        <v>8.8530171147904895</v>
      </c>
      <c r="N9" s="22">
        <v>5.5773212679087578</v>
      </c>
      <c r="O9" s="22">
        <v>5.0118885692359356</v>
      </c>
      <c r="P9" s="22">
        <v>5.0238588502683257</v>
      </c>
    </row>
    <row r="10" spans="1:19" ht="14.4" thickBot="1" x14ac:dyDescent="0.3">
      <c r="B10" s="332"/>
      <c r="C10" s="329"/>
      <c r="D10" s="16">
        <f>$D$8</f>
        <v>44651</v>
      </c>
      <c r="E10" s="18"/>
      <c r="F10" s="18">
        <f t="shared" ref="F10:K10" si="3">(F8/E8-1)*100</f>
        <v>2.0895560577366856</v>
      </c>
      <c r="G10" s="18">
        <f t="shared" si="3"/>
        <v>4.1347841456866208</v>
      </c>
      <c r="H10" s="18">
        <f t="shared" si="3"/>
        <v>8.7077578213057052</v>
      </c>
      <c r="I10" s="18">
        <f t="shared" si="3"/>
        <v>7.6603350572544304</v>
      </c>
      <c r="J10" s="18">
        <f t="shared" si="3"/>
        <v>7.3494045442754175</v>
      </c>
      <c r="K10" s="18">
        <f t="shared" si="3"/>
        <v>1.3249175652739087</v>
      </c>
      <c r="L10" s="18">
        <f>(L8/K8-1)*100</f>
        <v>11.752551743813221</v>
      </c>
      <c r="M10" s="22">
        <f>(M8/L8-1)*100</f>
        <v>8.8530167811094795</v>
      </c>
      <c r="N10" s="22">
        <f t="shared" ref="N10:P10" si="4">(N8/M8-1)*100</f>
        <v>5.5773212679087525</v>
      </c>
      <c r="O10" s="22">
        <f t="shared" si="4"/>
        <v>5.0118885692359338</v>
      </c>
      <c r="P10" s="22">
        <f t="shared" si="4"/>
        <v>5.0238588502683257</v>
      </c>
    </row>
    <row r="11" spans="1:19" ht="14.4" thickBot="1" x14ac:dyDescent="0.3">
      <c r="B11" s="331" t="s">
        <v>72</v>
      </c>
      <c r="C11" s="329" t="s">
        <v>73</v>
      </c>
      <c r="D11" s="16">
        <f>$D$7</f>
        <v>44665</v>
      </c>
      <c r="E11" s="17">
        <v>36604.6</v>
      </c>
      <c r="F11" s="17">
        <v>37345.699999999997</v>
      </c>
      <c r="G11" s="17">
        <v>38286.400000000001</v>
      </c>
      <c r="H11" s="17">
        <v>39926</v>
      </c>
      <c r="I11" s="17">
        <v>41520.400000000001</v>
      </c>
      <c r="J11" s="17">
        <v>43419.4</v>
      </c>
      <c r="K11" s="17">
        <v>43361.9</v>
      </c>
      <c r="L11" s="17">
        <v>45531.6</v>
      </c>
      <c r="M11" s="21">
        <f>L11*(1+M13/100)</f>
        <v>46271.489894492377</v>
      </c>
      <c r="N11" s="21">
        <f t="shared" ref="N11:P11" si="5">M11*(1+N13/100)</f>
        <v>47429.094109068123</v>
      </c>
      <c r="O11" s="21">
        <f t="shared" si="5"/>
        <v>48833.049751668579</v>
      </c>
      <c r="P11" s="21">
        <f t="shared" si="5"/>
        <v>50286.440413045137</v>
      </c>
    </row>
    <row r="12" spans="1:19" ht="14.4" thickBot="1" x14ac:dyDescent="0.3">
      <c r="B12" s="332"/>
      <c r="C12" s="329"/>
      <c r="D12" s="16">
        <f>D10</f>
        <v>44651</v>
      </c>
      <c r="E12" s="17">
        <v>36604.607000000004</v>
      </c>
      <c r="F12" s="17">
        <v>37345.699000000001</v>
      </c>
      <c r="G12" s="17">
        <v>38286.372000000003</v>
      </c>
      <c r="H12" s="17">
        <v>39926.023999999998</v>
      </c>
      <c r="I12" s="17">
        <v>41520.392</v>
      </c>
      <c r="J12" s="17">
        <v>43419.440999999999</v>
      </c>
      <c r="K12" s="17">
        <v>43361.94</v>
      </c>
      <c r="L12" s="17">
        <v>45504.705000000002</v>
      </c>
      <c r="M12" s="22">
        <v>46244.157708781917</v>
      </c>
      <c r="N12" s="22">
        <v>47401.078136139135</v>
      </c>
      <c r="O12" s="22">
        <v>48804.204473773614</v>
      </c>
      <c r="P12" s="22">
        <v>50256.736629328188</v>
      </c>
    </row>
    <row r="13" spans="1:19" ht="14.4" thickBot="1" x14ac:dyDescent="0.3">
      <c r="B13" s="331" t="s">
        <v>74</v>
      </c>
      <c r="C13" s="329" t="s">
        <v>75</v>
      </c>
      <c r="D13" s="16">
        <f>$D$7</f>
        <v>44665</v>
      </c>
      <c r="E13" s="18"/>
      <c r="F13" s="18">
        <f t="shared" ref="F13:K13" si="6">(F11/E11-1)*100</f>
        <v>2.0246089289324143</v>
      </c>
      <c r="G13" s="18">
        <f t="shared" si="6"/>
        <v>2.5188977579748251</v>
      </c>
      <c r="H13" s="18">
        <f t="shared" si="6"/>
        <v>4.2824606126457443</v>
      </c>
      <c r="I13" s="18">
        <f t="shared" si="6"/>
        <v>3.9933877673696383</v>
      </c>
      <c r="J13" s="18">
        <f t="shared" si="6"/>
        <v>4.5736553597749641</v>
      </c>
      <c r="K13" s="18">
        <f t="shared" si="6"/>
        <v>-0.13242928276300248</v>
      </c>
      <c r="L13" s="18">
        <f>(L11/K11-1)*100</f>
        <v>5.0037014060730689</v>
      </c>
      <c r="M13" s="22">
        <v>1.6250030626913501</v>
      </c>
      <c r="N13" s="22">
        <v>2.5017655952192115</v>
      </c>
      <c r="O13" s="22">
        <v>2.9601148176516148</v>
      </c>
      <c r="P13" s="22">
        <v>2.9762438937717519</v>
      </c>
    </row>
    <row r="14" spans="1:19" ht="14.4" thickBot="1" x14ac:dyDescent="0.3">
      <c r="B14" s="332"/>
      <c r="C14" s="329"/>
      <c r="D14" s="16">
        <f>$D$8</f>
        <v>44651</v>
      </c>
      <c r="E14" s="18"/>
      <c r="F14" s="18">
        <f t="shared" ref="F14:I14" si="7">(F12/E12-1)*100</f>
        <v>2.024586686588381</v>
      </c>
      <c r="G14" s="18">
        <f t="shared" si="7"/>
        <v>2.5188255279409821</v>
      </c>
      <c r="H14" s="18">
        <f t="shared" si="7"/>
        <v>4.2825995631030178</v>
      </c>
      <c r="I14" s="18">
        <f t="shared" si="7"/>
        <v>3.9933052186714058</v>
      </c>
      <c r="J14" s="20">
        <f>(J12/I12-1)*100</f>
        <v>4.5737742553104921</v>
      </c>
      <c r="K14" s="20">
        <f>(K12-J12)/J12*100</f>
        <v>-0.13243146082879456</v>
      </c>
      <c r="L14" s="20">
        <f>(L12-K12)/K12*100</f>
        <v>4.9415801045801899</v>
      </c>
      <c r="M14" s="22">
        <f>(M12/L12-1)*100</f>
        <v>1.625002752532767</v>
      </c>
      <c r="N14" s="22">
        <f t="shared" ref="N14:P14" si="8">(N12/M12-1)*100</f>
        <v>2.5017655952192186</v>
      </c>
      <c r="O14" s="22">
        <f t="shared" si="8"/>
        <v>2.9601148176516157</v>
      </c>
      <c r="P14" s="22">
        <f t="shared" si="8"/>
        <v>2.9762438937717572</v>
      </c>
    </row>
    <row r="15" spans="1:19" ht="14.4" thickBot="1" x14ac:dyDescent="0.3">
      <c r="B15" s="331" t="s">
        <v>76</v>
      </c>
      <c r="C15" s="329" t="s">
        <v>77</v>
      </c>
      <c r="D15" s="16">
        <v>44665</v>
      </c>
      <c r="E15" s="21">
        <v>36625.12273542396</v>
      </c>
      <c r="F15" s="21">
        <v>37458.735888731324</v>
      </c>
      <c r="G15" s="21">
        <v>38361.106064545893</v>
      </c>
      <c r="H15" s="21">
        <v>39376.458443892392</v>
      </c>
      <c r="I15" s="21">
        <v>40555.702270625821</v>
      </c>
      <c r="J15" s="21">
        <v>41856.640623527819</v>
      </c>
      <c r="K15" s="21">
        <v>43134.844262230778</v>
      </c>
      <c r="L15" s="21">
        <v>44558.179467741342</v>
      </c>
      <c r="M15" s="21">
        <v>45970.602629485365</v>
      </c>
      <c r="N15" s="21">
        <v>47423.70232695061</v>
      </c>
      <c r="O15" s="21">
        <v>48902.820789561672</v>
      </c>
      <c r="P15" s="21">
        <v>50393.93699485073</v>
      </c>
    </row>
    <row r="16" spans="1:19" ht="14.4" thickBot="1" x14ac:dyDescent="0.3">
      <c r="B16" s="332"/>
      <c r="C16" s="329"/>
      <c r="D16" s="16">
        <v>44665</v>
      </c>
      <c r="E16" s="22">
        <v>36457.393551098896</v>
      </c>
      <c r="F16" s="22">
        <v>37220.744070961722</v>
      </c>
      <c r="G16" s="22">
        <v>37942.556374723157</v>
      </c>
      <c r="H16" s="22">
        <v>38882.423774276242</v>
      </c>
      <c r="I16" s="22">
        <v>40163.536191435131</v>
      </c>
      <c r="J16" s="22">
        <v>41892.766283226993</v>
      </c>
      <c r="K16" s="22">
        <v>43586.070984071659</v>
      </c>
      <c r="L16" s="22">
        <v>45306.617722829833</v>
      </c>
      <c r="M16" s="22">
        <v>46593.141406218238</v>
      </c>
      <c r="N16" s="22">
        <v>47883.241331631594</v>
      </c>
      <c r="O16" s="22">
        <v>49107.70936005636</v>
      </c>
      <c r="P16" s="22">
        <v>50261.212100288467</v>
      </c>
      <c r="Q16" s="230"/>
      <c r="R16" s="230"/>
      <c r="S16" s="230"/>
    </row>
    <row r="17" spans="2:16" ht="14.4" thickBot="1" x14ac:dyDescent="0.3">
      <c r="B17" s="331" t="s">
        <v>78</v>
      </c>
      <c r="C17" s="329" t="s">
        <v>79</v>
      </c>
      <c r="D17" s="16">
        <f>D15</f>
        <v>44665</v>
      </c>
      <c r="E17" s="21"/>
      <c r="F17" s="21">
        <f>(F15/E15-1)*100</f>
        <v>2.2760692416768036</v>
      </c>
      <c r="G17" s="21">
        <f t="shared" ref="F17:J18" si="9">(G15/F15-1)*100</f>
        <v>2.4089712437040056</v>
      </c>
      <c r="H17" s="21">
        <f>(H15/G15-1)*100</f>
        <v>2.6468276947960723</v>
      </c>
      <c r="I17" s="21">
        <f t="shared" si="9"/>
        <v>2.9947940300769638</v>
      </c>
      <c r="J17" s="21">
        <f t="shared" si="9"/>
        <v>3.2077815943635013</v>
      </c>
      <c r="K17" s="21">
        <f>(K15/J15-1)*100</f>
        <v>3.0537654710504292</v>
      </c>
      <c r="L17" s="21">
        <f>(L15/K15-1)*100</f>
        <v>3.2997341936779501</v>
      </c>
      <c r="M17" s="21">
        <f>(M15/L15-1)*100</f>
        <v>3.1698403718818158</v>
      </c>
      <c r="N17" s="21">
        <f t="shared" ref="N17:P17" si="10">(N15/M15-1)*100</f>
        <v>3.160932453239651</v>
      </c>
      <c r="O17" s="21">
        <f t="shared" si="10"/>
        <v>3.1189434608324351</v>
      </c>
      <c r="P17" s="21">
        <f t="shared" si="10"/>
        <v>3.0491415039341385</v>
      </c>
    </row>
    <row r="18" spans="2:16" ht="14.4" thickBot="1" x14ac:dyDescent="0.3">
      <c r="B18" s="332"/>
      <c r="C18" s="329"/>
      <c r="D18" s="16">
        <f>$D$16</f>
        <v>44665</v>
      </c>
      <c r="E18" s="22"/>
      <c r="F18" s="22">
        <f t="shared" si="9"/>
        <v>2.0938153979463969</v>
      </c>
      <c r="G18" s="22">
        <f t="shared" si="9"/>
        <v>1.9392742455263567</v>
      </c>
      <c r="H18" s="22">
        <f>(H16/G16-1)*100</f>
        <v>2.4770797999768224</v>
      </c>
      <c r="I18" s="22">
        <f t="shared" si="9"/>
        <v>3.2948368254924532</v>
      </c>
      <c r="J18" s="22">
        <f t="shared" si="9"/>
        <v>4.3054727142293414</v>
      </c>
      <c r="K18" s="22">
        <f>(K16/J16-1)*100</f>
        <v>4.0419978222412833</v>
      </c>
      <c r="L18" s="22">
        <f>(L16/K16-1)*100</f>
        <v>3.9474692256316057</v>
      </c>
      <c r="M18" s="22">
        <f t="shared" ref="M18:P18" si="11">(M16/L16-1)*100</f>
        <v>2.8395933045783917</v>
      </c>
      <c r="N18" s="22">
        <f t="shared" si="11"/>
        <v>2.7688622970615695</v>
      </c>
      <c r="O18" s="22">
        <f t="shared" si="11"/>
        <v>2.5571953660035174</v>
      </c>
      <c r="P18" s="22">
        <f t="shared" si="11"/>
        <v>2.3489239373285731</v>
      </c>
    </row>
    <row r="19" spans="2:16" ht="14.4" thickBot="1" x14ac:dyDescent="0.3">
      <c r="B19" s="331" t="s">
        <v>80</v>
      </c>
      <c r="C19" s="329" t="s">
        <v>81</v>
      </c>
      <c r="D19" s="16">
        <f>D15</f>
        <v>44665</v>
      </c>
      <c r="E19" s="21">
        <f>(E11/E15-1)*100</f>
        <v>-5.6034584709019342E-2</v>
      </c>
      <c r="F19" s="21">
        <f t="shared" ref="F19:K19" si="12">(F11/F15-1)*100</f>
        <v>-0.30176108736582608</v>
      </c>
      <c r="G19" s="21">
        <f t="shared" si="12"/>
        <v>-0.19474429235745161</v>
      </c>
      <c r="H19" s="21">
        <f t="shared" si="12"/>
        <v>1.3956094017206988</v>
      </c>
      <c r="I19" s="21">
        <f t="shared" si="12"/>
        <v>2.3786981247095884</v>
      </c>
      <c r="J19" s="21">
        <f>(J11/J15-1)*100</f>
        <v>3.7335996228845758</v>
      </c>
      <c r="K19" s="21">
        <f t="shared" si="12"/>
        <v>0.52638589903994948</v>
      </c>
      <c r="L19" s="21">
        <f>(L11/L15-1)*100</f>
        <v>2.1846057085060711</v>
      </c>
      <c r="M19" s="21">
        <f t="shared" ref="M19:P19" si="13">(M11/M15-1)*100</f>
        <v>0.65452103691594488</v>
      </c>
      <c r="N19" s="21">
        <f t="shared" si="13"/>
        <v>1.1369382509074377E-2</v>
      </c>
      <c r="O19" s="21">
        <f t="shared" si="13"/>
        <v>-0.14267282902418188</v>
      </c>
      <c r="P19" s="21">
        <f t="shared" si="13"/>
        <v>-0.21331252967311531</v>
      </c>
    </row>
    <row r="20" spans="2:16" ht="14.4" thickBot="1" x14ac:dyDescent="0.3">
      <c r="B20" s="332"/>
      <c r="C20" s="329"/>
      <c r="D20" s="16">
        <f>$D$16</f>
        <v>44665</v>
      </c>
      <c r="E20" s="22">
        <f t="shared" ref="E20:J20" si="14">(E$12/E16-1)*100</f>
        <v>0.40379586844234705</v>
      </c>
      <c r="F20" s="22">
        <f t="shared" si="14"/>
        <v>0.33571314103784111</v>
      </c>
      <c r="G20" s="22">
        <f t="shared" si="14"/>
        <v>0.90614776158279842</v>
      </c>
      <c r="H20" s="22">
        <f t="shared" si="14"/>
        <v>2.6839896395917995</v>
      </c>
      <c r="I20" s="22">
        <f t="shared" si="14"/>
        <v>3.3783275508848742</v>
      </c>
      <c r="J20" s="22">
        <f t="shared" si="14"/>
        <v>3.6442442269186026</v>
      </c>
      <c r="K20" s="22">
        <f>(K$12/K16-1)*100</f>
        <v>-0.51422617136920312</v>
      </c>
      <c r="L20" s="22">
        <f>(L$12/L16-1)*100</f>
        <v>0.43721488631527361</v>
      </c>
      <c r="M20" s="22">
        <f>(M$12/M16-1)*100</f>
        <v>-0.74900229283476616</v>
      </c>
      <c r="N20" s="22">
        <f t="shared" ref="N20:P20" si="15">(N$12/N16-1)*100</f>
        <v>-1.0069560499321173</v>
      </c>
      <c r="O20" s="22">
        <f t="shared" si="15"/>
        <v>-0.61803918414816694</v>
      </c>
      <c r="P20" s="22">
        <f t="shared" si="15"/>
        <v>-8.9044230595747287E-3</v>
      </c>
    </row>
    <row r="21" spans="2:16" ht="17.399999999999999" customHeight="1" thickBot="1" x14ac:dyDescent="0.3">
      <c r="B21" s="342" t="s">
        <v>82</v>
      </c>
      <c r="C21" s="329" t="s">
        <v>83</v>
      </c>
      <c r="D21" s="16">
        <f>$D$15</f>
        <v>44665</v>
      </c>
      <c r="E21" s="21">
        <f t="shared" ref="E21:P21" si="16">E19*E38</f>
        <v>0</v>
      </c>
      <c r="F21" s="21">
        <f t="shared" si="16"/>
        <v>0</v>
      </c>
      <c r="G21" s="21">
        <f t="shared" si="16"/>
        <v>0</v>
      </c>
      <c r="H21" s="21">
        <f t="shared" si="16"/>
        <v>0</v>
      </c>
      <c r="I21" s="21">
        <f t="shared" si="16"/>
        <v>0</v>
      </c>
      <c r="J21" s="21">
        <f t="shared" si="16"/>
        <v>0</v>
      </c>
      <c r="K21" s="21">
        <f t="shared" si="16"/>
        <v>0</v>
      </c>
      <c r="L21" s="21">
        <f t="shared" si="16"/>
        <v>0.87165767769392244</v>
      </c>
      <c r="M21" s="21">
        <f>M19*M38</f>
        <v>0.26115389372946202</v>
      </c>
      <c r="N21" s="21">
        <f t="shared" si="16"/>
        <v>0</v>
      </c>
      <c r="O21" s="21">
        <f t="shared" si="16"/>
        <v>0</v>
      </c>
      <c r="P21" s="21">
        <f t="shared" si="16"/>
        <v>0</v>
      </c>
    </row>
    <row r="22" spans="2:16" ht="14.4" thickBot="1" x14ac:dyDescent="0.3">
      <c r="B22" s="344"/>
      <c r="C22" s="329"/>
      <c r="D22" s="16">
        <f>$D$16</f>
        <v>44665</v>
      </c>
      <c r="E22" s="22">
        <f t="shared" ref="E22:P22" si="17">E20*E38</f>
        <v>0</v>
      </c>
      <c r="F22" s="22">
        <f t="shared" si="17"/>
        <v>0</v>
      </c>
      <c r="G22" s="22">
        <f t="shared" si="17"/>
        <v>0</v>
      </c>
      <c r="H22" s="22">
        <f t="shared" si="17"/>
        <v>0</v>
      </c>
      <c r="I22" s="22">
        <f t="shared" si="17"/>
        <v>0</v>
      </c>
      <c r="J22" s="22">
        <f t="shared" si="17"/>
        <v>0</v>
      </c>
      <c r="K22" s="22">
        <f t="shared" si="17"/>
        <v>0</v>
      </c>
      <c r="L22" s="22">
        <f t="shared" si="17"/>
        <v>0.17444873963979418</v>
      </c>
      <c r="M22" s="22">
        <f>M20*M38</f>
        <v>-0.29885191484107171</v>
      </c>
      <c r="N22" s="22">
        <f t="shared" si="17"/>
        <v>0</v>
      </c>
      <c r="O22" s="22">
        <f t="shared" si="17"/>
        <v>0</v>
      </c>
      <c r="P22" s="22">
        <f t="shared" si="17"/>
        <v>0</v>
      </c>
    </row>
    <row r="23" spans="2:16" ht="17.399999999999999" customHeight="1" thickBot="1" x14ac:dyDescent="0.3">
      <c r="B23" s="342" t="s">
        <v>84</v>
      </c>
      <c r="C23" s="329" t="s">
        <v>85</v>
      </c>
      <c r="D23" s="16">
        <f>$D$15</f>
        <v>44665</v>
      </c>
      <c r="E23" s="19"/>
      <c r="F23" s="19"/>
      <c r="G23" s="19"/>
      <c r="H23" s="19"/>
      <c r="I23" s="19"/>
      <c r="J23" s="21">
        <f t="shared" ref="J23:P23" si="18">J19*J39</f>
        <v>0</v>
      </c>
      <c r="K23" s="21">
        <f t="shared" si="18"/>
        <v>0</v>
      </c>
      <c r="L23" s="21">
        <f t="shared" si="18"/>
        <v>0.17695306238899175</v>
      </c>
      <c r="M23" s="21">
        <f t="shared" si="18"/>
        <v>6.5452103691594488E-2</v>
      </c>
      <c r="N23" s="21">
        <f t="shared" si="18"/>
        <v>0</v>
      </c>
      <c r="O23" s="21">
        <f t="shared" si="18"/>
        <v>0</v>
      </c>
      <c r="P23" s="21">
        <f t="shared" si="18"/>
        <v>0</v>
      </c>
    </row>
    <row r="24" spans="2:16" ht="14.4" thickBot="1" x14ac:dyDescent="0.3">
      <c r="B24" s="342"/>
      <c r="C24" s="329"/>
      <c r="D24" s="16">
        <f>$D$16</f>
        <v>44665</v>
      </c>
      <c r="E24" s="19"/>
      <c r="F24" s="19"/>
      <c r="G24" s="19"/>
      <c r="H24" s="19"/>
      <c r="I24" s="19"/>
      <c r="J24" s="22">
        <f t="shared" ref="J24:P24" si="19">J20*J39</f>
        <v>0</v>
      </c>
      <c r="K24" s="22">
        <f t="shared" si="19"/>
        <v>0</v>
      </c>
      <c r="L24" s="22">
        <f t="shared" si="19"/>
        <v>3.5414405791537165E-2</v>
      </c>
      <c r="M24" s="22">
        <f>M20*M39</f>
        <v>-7.4900229283476616E-2</v>
      </c>
      <c r="N24" s="22">
        <f t="shared" si="19"/>
        <v>0</v>
      </c>
      <c r="O24" s="22">
        <f t="shared" si="19"/>
        <v>0</v>
      </c>
      <c r="P24" s="22">
        <f t="shared" si="19"/>
        <v>0</v>
      </c>
    </row>
    <row r="25" spans="2:16" s="23" customFormat="1" ht="15.75" customHeight="1" thickBot="1" x14ac:dyDescent="0.3">
      <c r="B25" s="333" t="s">
        <v>86</v>
      </c>
      <c r="C25" s="335" t="s">
        <v>87</v>
      </c>
      <c r="D25" s="16">
        <f>$D$15</f>
        <v>44665</v>
      </c>
      <c r="E25" s="19"/>
      <c r="F25" s="19"/>
      <c r="G25" s="19"/>
      <c r="H25" s="19"/>
      <c r="I25" s="19"/>
      <c r="J25" s="21">
        <f t="shared" ref="J25:P25" si="20">J19*J40</f>
        <v>0</v>
      </c>
      <c r="K25" s="21">
        <f t="shared" si="20"/>
        <v>0</v>
      </c>
      <c r="L25" s="21">
        <f t="shared" si="20"/>
        <v>8.9568834048748922E-2</v>
      </c>
      <c r="M25" s="21">
        <f t="shared" si="20"/>
        <v>3.2726051845797244E-2</v>
      </c>
      <c r="N25" s="21">
        <f t="shared" si="20"/>
        <v>0</v>
      </c>
      <c r="O25" s="21">
        <f t="shared" si="20"/>
        <v>0</v>
      </c>
      <c r="P25" s="21">
        <f t="shared" si="20"/>
        <v>0</v>
      </c>
    </row>
    <row r="26" spans="2:16" s="23" customFormat="1" ht="14.4" thickBot="1" x14ac:dyDescent="0.3">
      <c r="B26" s="343"/>
      <c r="C26" s="336"/>
      <c r="D26" s="16">
        <f>$D$16</f>
        <v>44665</v>
      </c>
      <c r="E26" s="19"/>
      <c r="F26" s="19"/>
      <c r="G26" s="19"/>
      <c r="H26" s="19"/>
      <c r="I26" s="19"/>
      <c r="J26" s="22">
        <f t="shared" ref="J26:P26" si="21">J20*J40</f>
        <v>0</v>
      </c>
      <c r="K26" s="22">
        <f t="shared" si="21"/>
        <v>0</v>
      </c>
      <c r="L26" s="22">
        <f t="shared" si="21"/>
        <v>1.7925810338926217E-2</v>
      </c>
      <c r="M26" s="22">
        <f t="shared" si="21"/>
        <v>-3.7450114641738308E-2</v>
      </c>
      <c r="N26" s="22">
        <f t="shared" si="21"/>
        <v>0</v>
      </c>
      <c r="O26" s="22">
        <f t="shared" si="21"/>
        <v>0</v>
      </c>
      <c r="P26" s="22">
        <f t="shared" si="21"/>
        <v>0</v>
      </c>
    </row>
    <row r="27" spans="2:16" ht="14.4" thickBot="1" x14ac:dyDescent="0.3">
      <c r="B27" s="331" t="s">
        <v>88</v>
      </c>
      <c r="C27" s="329" t="s">
        <v>89</v>
      </c>
      <c r="D27" s="16">
        <f>$D$7</f>
        <v>44665</v>
      </c>
      <c r="E27" s="19">
        <f>E7/E11*100</f>
        <v>99.936346797943443</v>
      </c>
      <c r="F27" s="19">
        <f t="shared" ref="E27:K28" si="22">F7/F11*100</f>
        <v>100</v>
      </c>
      <c r="G27" s="19">
        <f t="shared" si="22"/>
        <v>101.57627773830917</v>
      </c>
      <c r="H27" s="19">
        <f t="shared" si="22"/>
        <v>105.88664028452639</v>
      </c>
      <c r="I27" s="19">
        <f t="shared" si="22"/>
        <v>109.62033121068198</v>
      </c>
      <c r="J27" s="19">
        <f t="shared" si="22"/>
        <v>112.53011326734132</v>
      </c>
      <c r="K27" s="19">
        <f t="shared" si="22"/>
        <v>114.17211884165593</v>
      </c>
      <c r="L27" s="19">
        <f>L7/L11*100</f>
        <v>121.63662159906528</v>
      </c>
      <c r="M27" s="19">
        <f>M7/M11*100</f>
        <v>130.28794935967105</v>
      </c>
      <c r="N27" s="19">
        <f t="shared" ref="N27:P27" si="23">N7/N11*100</f>
        <v>134.19722681854552</v>
      </c>
      <c r="O27" s="19">
        <f t="shared" si="23"/>
        <v>136.87148906086475</v>
      </c>
      <c r="P27" s="19">
        <f t="shared" si="23"/>
        <v>139.59308869901133</v>
      </c>
    </row>
    <row r="28" spans="2:16" ht="14.4" thickBot="1" x14ac:dyDescent="0.3">
      <c r="B28" s="332"/>
      <c r="C28" s="329"/>
      <c r="D28" s="16">
        <f>$D$8</f>
        <v>44651</v>
      </c>
      <c r="E28" s="19">
        <f t="shared" si="22"/>
        <v>99.936357737702238</v>
      </c>
      <c r="F28" s="19">
        <f>F8/F12*100</f>
        <v>99.999997322315465</v>
      </c>
      <c r="G28" s="19">
        <f t="shared" si="22"/>
        <v>101.57625277213521</v>
      </c>
      <c r="H28" s="19">
        <f t="shared" si="22"/>
        <v>105.88656912093226</v>
      </c>
      <c r="I28" s="19">
        <f t="shared" si="22"/>
        <v>109.62035955729898</v>
      </c>
      <c r="J28" s="19">
        <f t="shared" si="22"/>
        <v>112.52993791421682</v>
      </c>
      <c r="K28" s="19">
        <f t="shared" si="22"/>
        <v>114.1720665634425</v>
      </c>
      <c r="L28" s="19">
        <f>L8/L12*100</f>
        <v>121.58211991485275</v>
      </c>
      <c r="M28" s="19">
        <f>M8/M12*100</f>
        <v>130.22957127589837</v>
      </c>
      <c r="N28" s="19">
        <f t="shared" ref="N28:P28" si="24">N8/N12*100</f>
        <v>134.13709710595293</v>
      </c>
      <c r="O28" s="19">
        <f t="shared" si="24"/>
        <v>136.81016109236299</v>
      </c>
      <c r="P28" s="19">
        <f t="shared" si="24"/>
        <v>139.53054126414713</v>
      </c>
    </row>
    <row r="29" spans="2:16" ht="14.4" thickBot="1" x14ac:dyDescent="0.3">
      <c r="B29" s="331" t="s">
        <v>90</v>
      </c>
      <c r="C29" s="329" t="s">
        <v>91</v>
      </c>
      <c r="D29" s="16">
        <f>$D$7</f>
        <v>44665</v>
      </c>
      <c r="E29" s="19"/>
      <c r="F29" s="19">
        <f>(F27/E27-1)*100</f>
        <v>6.3693745164861149E-2</v>
      </c>
      <c r="G29" s="19">
        <f t="shared" ref="G29:K30" si="25">(G27/F27-1)*100</f>
        <v>1.5762777383091731</v>
      </c>
      <c r="H29" s="19">
        <f t="shared" si="25"/>
        <v>4.2434736162728859</v>
      </c>
      <c r="I29" s="19">
        <f t="shared" si="25"/>
        <v>3.5261208742886296</v>
      </c>
      <c r="J29" s="19">
        <f t="shared" si="25"/>
        <v>2.6544182311098563</v>
      </c>
      <c r="K29" s="19">
        <f t="shared" si="25"/>
        <v>1.459169929398052</v>
      </c>
      <c r="L29" s="19">
        <f>(L27/K27-1)*100</f>
        <v>6.5379383628342724</v>
      </c>
      <c r="M29" s="19">
        <f t="shared" ref="M29:P29" si="26">(M27/L27-1)*100</f>
        <v>7.1124367372862318</v>
      </c>
      <c r="N29" s="19">
        <f t="shared" si="26"/>
        <v>3.0004904352915807</v>
      </c>
      <c r="O29" s="19">
        <f t="shared" si="26"/>
        <v>1.9927850267243086</v>
      </c>
      <c r="P29" s="19">
        <f t="shared" si="26"/>
        <v>1.988434302001596</v>
      </c>
    </row>
    <row r="30" spans="2:16" ht="14.4" thickBot="1" x14ac:dyDescent="0.3">
      <c r="B30" s="332"/>
      <c r="C30" s="329"/>
      <c r="D30" s="16">
        <f>$D$8</f>
        <v>44651</v>
      </c>
      <c r="E30" s="19"/>
      <c r="F30" s="19">
        <f t="shared" ref="F30:I30" si="27">(F28/E28-1)*100</f>
        <v>6.3680112077180162E-2</v>
      </c>
      <c r="G30" s="19">
        <f t="shared" si="27"/>
        <v>1.5762554920268901</v>
      </c>
      <c r="H30" s="19">
        <f t="shared" si="27"/>
        <v>4.243429178733682</v>
      </c>
      <c r="I30" s="19">
        <f t="shared" si="27"/>
        <v>3.5262172222261468</v>
      </c>
      <c r="J30" s="19">
        <f t="shared" si="25"/>
        <v>2.6542317217970623</v>
      </c>
      <c r="K30" s="19">
        <f>(K28/J28-1)*100</f>
        <v>1.4592815740087861</v>
      </c>
      <c r="L30" s="19">
        <f>(L28/K28-1)*100</f>
        <v>6.4902507018147704</v>
      </c>
      <c r="M30" s="19">
        <f t="shared" ref="M30:P30" si="28">(M28/L28-1)*100</f>
        <v>7.1124367358470497</v>
      </c>
      <c r="N30" s="19">
        <f t="shared" si="28"/>
        <v>3.0004904352915807</v>
      </c>
      <c r="O30" s="19">
        <f t="shared" si="28"/>
        <v>1.9927850267242864</v>
      </c>
      <c r="P30" s="19">
        <f t="shared" si="28"/>
        <v>1.9884343020015738</v>
      </c>
    </row>
    <row r="31" spans="2:16" ht="28.8" thickBot="1" x14ac:dyDescent="0.3">
      <c r="B31" s="267" t="s">
        <v>297</v>
      </c>
      <c r="C31" s="268" t="s">
        <v>298</v>
      </c>
      <c r="D31" s="16">
        <f>$D$8</f>
        <v>44651</v>
      </c>
      <c r="E31" s="17">
        <v>0.2</v>
      </c>
      <c r="F31" s="17">
        <v>-0.7</v>
      </c>
      <c r="G31" s="17">
        <v>0.7</v>
      </c>
      <c r="H31" s="17">
        <v>3.7</v>
      </c>
      <c r="I31" s="17">
        <v>2.5</v>
      </c>
      <c r="J31" s="17">
        <v>2.2000000000000002</v>
      </c>
      <c r="K31" s="17">
        <v>1.1000000000000001</v>
      </c>
      <c r="L31" s="17">
        <v>4.5999999999999996</v>
      </c>
      <c r="M31" s="22">
        <v>9.8000000000000007</v>
      </c>
      <c r="N31" s="22">
        <v>3</v>
      </c>
      <c r="O31" s="22">
        <v>2</v>
      </c>
      <c r="P31" s="22">
        <v>2</v>
      </c>
    </row>
    <row r="32" spans="2:16" ht="28.8" thickBot="1" x14ac:dyDescent="0.3">
      <c r="B32" s="208" t="s">
        <v>92</v>
      </c>
      <c r="C32" s="209" t="s">
        <v>93</v>
      </c>
      <c r="D32" s="16">
        <v>44678</v>
      </c>
      <c r="E32" s="17">
        <v>11783.874300000001</v>
      </c>
      <c r="F32" s="17">
        <v>12214.623900000001</v>
      </c>
      <c r="G32" s="17">
        <v>12552.5</v>
      </c>
      <c r="H32" s="17">
        <v>13076.045699999999</v>
      </c>
      <c r="I32" s="17">
        <v>13531.5393</v>
      </c>
      <c r="J32" s="17">
        <v>14017.168800000001</v>
      </c>
      <c r="K32" s="17">
        <v>13403.1494</v>
      </c>
      <c r="L32" s="17">
        <v>14448.3416</v>
      </c>
      <c r="M32" s="229"/>
      <c r="N32" s="229"/>
      <c r="O32" s="229"/>
      <c r="P32" s="229"/>
    </row>
    <row r="33" spans="2:16" ht="29.25" customHeight="1" thickBot="1" x14ac:dyDescent="0.3">
      <c r="B33" s="208" t="s">
        <v>94</v>
      </c>
      <c r="C33" s="209" t="s">
        <v>95</v>
      </c>
      <c r="D33" s="16">
        <f>$D$32</f>
        <v>44678</v>
      </c>
      <c r="E33" s="18"/>
      <c r="F33" s="18">
        <f>(F32/E32-1)*100</f>
        <v>3.6554157744197902</v>
      </c>
      <c r="G33" s="18">
        <f t="shared" ref="G33:I33" si="29">(G32/F32-1)*100</f>
        <v>2.7661604873482792</v>
      </c>
      <c r="H33" s="18">
        <f t="shared" si="29"/>
        <v>4.1708480382393942</v>
      </c>
      <c r="I33" s="18">
        <f t="shared" si="29"/>
        <v>3.4834200678879768</v>
      </c>
      <c r="J33" s="18">
        <f>(J32/I32-1)*100</f>
        <v>3.5888710754437225</v>
      </c>
      <c r="K33" s="18">
        <f>(K32/J32-1)*100</f>
        <v>-4.3804808856978354</v>
      </c>
      <c r="L33" s="18">
        <f>(L32/K32-1)*100</f>
        <v>7.7981090026497668</v>
      </c>
      <c r="M33" s="229"/>
      <c r="N33" s="229"/>
      <c r="O33" s="229"/>
      <c r="P33" s="229"/>
    </row>
    <row r="34" spans="2:16" s="25" customFormat="1" ht="14.4" thickBot="1" x14ac:dyDescent="0.3">
      <c r="B34" s="333" t="s">
        <v>96</v>
      </c>
      <c r="C34" s="335" t="s">
        <v>97</v>
      </c>
      <c r="D34" s="16">
        <v>44678</v>
      </c>
      <c r="E34" s="17">
        <v>-220</v>
      </c>
      <c r="F34" s="17">
        <v>-111.8</v>
      </c>
      <c r="G34" s="17">
        <v>97.8</v>
      </c>
      <c r="H34" s="17">
        <v>176.4</v>
      </c>
      <c r="I34" s="17">
        <v>244.5</v>
      </c>
      <c r="J34" s="17">
        <v>231.4</v>
      </c>
      <c r="K34" s="17">
        <v>-3604.9</v>
      </c>
      <c r="L34" s="17">
        <v>-554.6</v>
      </c>
      <c r="M34" s="229"/>
      <c r="N34" s="229"/>
      <c r="O34" s="229"/>
      <c r="P34" s="229"/>
    </row>
    <row r="35" spans="2:16" s="25" customFormat="1" ht="14.4" thickBot="1" x14ac:dyDescent="0.3">
      <c r="B35" s="334"/>
      <c r="C35" s="336"/>
      <c r="D35" s="16">
        <v>44678</v>
      </c>
      <c r="E35" s="17">
        <v>-220</v>
      </c>
      <c r="F35" s="17">
        <v>-111.8</v>
      </c>
      <c r="G35" s="17">
        <v>97.8</v>
      </c>
      <c r="H35" s="17">
        <v>176.4</v>
      </c>
      <c r="I35" s="17">
        <v>244.5</v>
      </c>
      <c r="J35" s="17">
        <v>231.4</v>
      </c>
      <c r="K35" s="17">
        <v>-3604.9</v>
      </c>
      <c r="L35" s="17">
        <v>-554.6</v>
      </c>
      <c r="M35" s="229"/>
      <c r="N35" s="229"/>
      <c r="O35" s="229"/>
      <c r="P35" s="229"/>
    </row>
    <row r="36" spans="2:16" ht="14.4" thickBot="1" x14ac:dyDescent="0.3">
      <c r="B36" s="331" t="s">
        <v>98</v>
      </c>
      <c r="C36" s="329" t="s">
        <v>99</v>
      </c>
      <c r="D36" s="16">
        <f>+D34</f>
        <v>44678</v>
      </c>
      <c r="E36" s="19">
        <f t="shared" ref="E36:L37" si="30">E34/E7*100</f>
        <v>-0.60140016893877468</v>
      </c>
      <c r="F36" s="19">
        <f t="shared" si="30"/>
        <v>-0.29936512101794854</v>
      </c>
      <c r="G36" s="19">
        <f t="shared" si="30"/>
        <v>0.25147917582714274</v>
      </c>
      <c r="H36" s="19">
        <f t="shared" si="30"/>
        <v>0.41725505779834093</v>
      </c>
      <c r="I36" s="19">
        <f t="shared" si="30"/>
        <v>0.5371879037148356</v>
      </c>
      <c r="J36" s="19">
        <f t="shared" si="30"/>
        <v>0.4735990045006232</v>
      </c>
      <c r="K36" s="19">
        <f t="shared" si="30"/>
        <v>-7.2815671255898131</v>
      </c>
      <c r="L36" s="19">
        <f t="shared" si="30"/>
        <v>-1.0013885102134044</v>
      </c>
      <c r="M36" s="229"/>
      <c r="N36" s="229"/>
      <c r="O36" s="229"/>
      <c r="P36" s="229"/>
    </row>
    <row r="37" spans="2:16" ht="14.4" thickBot="1" x14ac:dyDescent="0.3">
      <c r="B37" s="332"/>
      <c r="C37" s="329"/>
      <c r="D37" s="16">
        <f>D36</f>
        <v>44678</v>
      </c>
      <c r="E37" s="19">
        <f t="shared" si="30"/>
        <v>-0.60139998809774753</v>
      </c>
      <c r="F37" s="19">
        <f t="shared" si="30"/>
        <v>-0.29936513705005596</v>
      </c>
      <c r="G37" s="19">
        <f t="shared" si="30"/>
        <v>0.25147942155207437</v>
      </c>
      <c r="H37" s="19">
        <f t="shared" si="30"/>
        <v>0.4172550874074899</v>
      </c>
      <c r="I37" s="19">
        <f t="shared" si="30"/>
        <v>0.53718786830737242</v>
      </c>
      <c r="J37" s="19">
        <f t="shared" si="30"/>
        <v>0.47359929529079797</v>
      </c>
      <c r="K37" s="19">
        <f t="shared" si="30"/>
        <v>-7.2815637427290163</v>
      </c>
      <c r="L37" s="19">
        <f t="shared" si="30"/>
        <v>-1.0024295269539401</v>
      </c>
      <c r="M37" s="229"/>
      <c r="N37" s="229"/>
      <c r="O37" s="229"/>
      <c r="P37" s="229"/>
    </row>
    <row r="38" spans="2:16" ht="36.75" customHeight="1" thickBot="1" x14ac:dyDescent="0.3">
      <c r="B38" s="208" t="s">
        <v>100</v>
      </c>
      <c r="C38" s="213" t="s">
        <v>101</v>
      </c>
      <c r="D38" s="16">
        <v>43910</v>
      </c>
      <c r="E38" s="28"/>
      <c r="F38" s="28"/>
      <c r="G38" s="28"/>
      <c r="H38" s="28"/>
      <c r="I38" s="28"/>
      <c r="J38" s="28"/>
      <c r="K38" s="28"/>
      <c r="L38" s="27">
        <v>0.39900000000000002</v>
      </c>
      <c r="M38" s="27">
        <v>0.39900000000000002</v>
      </c>
      <c r="N38" s="229"/>
      <c r="O38" s="229"/>
      <c r="P38" s="229"/>
    </row>
    <row r="39" spans="2:16" ht="36.75" customHeight="1" thickBot="1" x14ac:dyDescent="0.3">
      <c r="B39" s="208" t="s">
        <v>102</v>
      </c>
      <c r="C39" s="213" t="s">
        <v>103</v>
      </c>
      <c r="D39" s="16">
        <f>D26</f>
        <v>44665</v>
      </c>
      <c r="E39" s="28"/>
      <c r="F39" s="28"/>
      <c r="G39" s="28"/>
      <c r="H39" s="28"/>
      <c r="I39" s="28"/>
      <c r="J39" s="28"/>
      <c r="K39" s="28"/>
      <c r="L39" s="22">
        <v>8.1000000000000003E-2</v>
      </c>
      <c r="M39" s="22">
        <v>0.1</v>
      </c>
      <c r="N39" s="229"/>
      <c r="O39" s="229"/>
      <c r="P39" s="229"/>
    </row>
    <row r="40" spans="2:16" ht="36.75" customHeight="1" thickBot="1" x14ac:dyDescent="0.3">
      <c r="B40" s="210" t="s">
        <v>104</v>
      </c>
      <c r="C40" s="209" t="s">
        <v>105</v>
      </c>
      <c r="D40" s="16">
        <f>D26</f>
        <v>44665</v>
      </c>
      <c r="E40" s="28"/>
      <c r="F40" s="28"/>
      <c r="G40" s="28"/>
      <c r="H40" s="28"/>
      <c r="I40" s="28"/>
      <c r="J40" s="28"/>
      <c r="K40" s="28"/>
      <c r="L40" s="22">
        <v>4.1000000000000002E-2</v>
      </c>
      <c r="M40" s="22">
        <v>0.05</v>
      </c>
      <c r="N40" s="229"/>
      <c r="O40" s="229"/>
      <c r="P40" s="229"/>
    </row>
    <row r="41" spans="2:16" x14ac:dyDescent="0.25">
      <c r="B41" s="29"/>
      <c r="C41" s="29"/>
      <c r="D41" s="29"/>
    </row>
    <row r="42" spans="2:16" ht="15" thickBot="1" x14ac:dyDescent="0.35">
      <c r="C42" s="10" t="s">
        <v>50</v>
      </c>
      <c r="E42" s="323" t="s">
        <v>51</v>
      </c>
      <c r="F42" s="323"/>
      <c r="G42" s="323"/>
      <c r="H42" s="323"/>
      <c r="I42" s="323"/>
      <c r="J42" s="323"/>
      <c r="M42" s="231"/>
    </row>
    <row r="43" spans="2:16" ht="15" thickBot="1" x14ac:dyDescent="0.35">
      <c r="C43" s="10" t="s">
        <v>106</v>
      </c>
      <c r="D43" s="30"/>
      <c r="E43" s="322" t="s">
        <v>107</v>
      </c>
      <c r="F43" s="323"/>
      <c r="G43" s="323"/>
      <c r="H43" s="323"/>
      <c r="I43" s="323"/>
      <c r="J43" s="323"/>
      <c r="K43" s="24"/>
      <c r="L43" s="24"/>
    </row>
    <row r="44" spans="2:16" ht="15" thickBot="1" x14ac:dyDescent="0.35">
      <c r="B44" s="10" t="s">
        <v>322</v>
      </c>
      <c r="C44" s="10" t="s">
        <v>108</v>
      </c>
      <c r="D44" s="31"/>
      <c r="E44" s="322" t="s">
        <v>109</v>
      </c>
      <c r="F44" s="323"/>
      <c r="G44" s="323"/>
      <c r="H44" s="323"/>
      <c r="I44" s="323"/>
      <c r="J44" s="323"/>
      <c r="K44" s="24"/>
      <c r="L44" s="24"/>
    </row>
    <row r="45" spans="2:16" ht="15" customHeight="1" thickBot="1" x14ac:dyDescent="0.35">
      <c r="B45" s="10"/>
      <c r="C45" s="10" t="s">
        <v>110</v>
      </c>
      <c r="D45" s="32"/>
      <c r="E45" s="324" t="s">
        <v>111</v>
      </c>
      <c r="F45" s="325"/>
      <c r="G45" s="325"/>
      <c r="H45" s="325"/>
      <c r="I45" s="325"/>
      <c r="J45" s="325"/>
      <c r="K45" s="325"/>
      <c r="L45" s="325"/>
    </row>
    <row r="46" spans="2:16" ht="15" thickBot="1" x14ac:dyDescent="0.35">
      <c r="C46" s="10" t="s">
        <v>112</v>
      </c>
      <c r="E46" s="323" t="s">
        <v>113</v>
      </c>
      <c r="F46" s="323"/>
      <c r="G46" s="323"/>
      <c r="H46" s="323"/>
      <c r="I46" s="323"/>
      <c r="J46" s="323"/>
    </row>
    <row r="47" spans="2:16" ht="14.4" thickBot="1" x14ac:dyDescent="0.3">
      <c r="C47" s="33" t="s">
        <v>114</v>
      </c>
      <c r="D47" s="34"/>
      <c r="E47" s="196" t="s">
        <v>115</v>
      </c>
      <c r="F47" s="290"/>
      <c r="G47" s="290"/>
      <c r="H47" s="290"/>
      <c r="I47" s="290"/>
      <c r="J47" s="290"/>
    </row>
    <row r="48" spans="2:16" x14ac:dyDescent="0.25">
      <c r="C48" s="36" t="s">
        <v>116</v>
      </c>
      <c r="D48" s="37">
        <v>4.9999999999999899E-2</v>
      </c>
      <c r="E48" s="35"/>
    </row>
    <row r="49" spans="5:16" x14ac:dyDescent="0.25">
      <c r="E49" s="35"/>
    </row>
    <row r="50" spans="5:16" x14ac:dyDescent="0.25">
      <c r="E50" s="35"/>
    </row>
    <row r="51" spans="5:16" x14ac:dyDescent="0.25">
      <c r="E51" s="35"/>
      <c r="J51" s="38"/>
      <c r="K51" s="38"/>
    </row>
    <row r="52" spans="5:16" x14ac:dyDescent="0.25">
      <c r="E52" s="35"/>
      <c r="J52" s="38"/>
      <c r="K52" s="38"/>
    </row>
    <row r="53" spans="5:16" x14ac:dyDescent="0.25">
      <c r="E53" s="35"/>
      <c r="J53" s="38"/>
      <c r="K53" s="38"/>
      <c r="P53" s="232"/>
    </row>
    <row r="54" spans="5:16" x14ac:dyDescent="0.25">
      <c r="E54" s="35"/>
      <c r="J54" s="38"/>
      <c r="K54" s="38"/>
      <c r="P54" s="232"/>
    </row>
    <row r="55" spans="5:16" x14ac:dyDescent="0.25">
      <c r="E55" s="35"/>
      <c r="J55" s="38"/>
      <c r="K55" s="38"/>
      <c r="P55" s="232"/>
    </row>
    <row r="56" spans="5:16" x14ac:dyDescent="0.25">
      <c r="J56" s="38"/>
      <c r="K56" s="38"/>
      <c r="P56" s="232"/>
    </row>
    <row r="57" spans="5:16" x14ac:dyDescent="0.25">
      <c r="J57" s="38"/>
      <c r="K57" s="38"/>
      <c r="P57" s="232"/>
    </row>
    <row r="58" spans="5:16" x14ac:dyDescent="0.25">
      <c r="J58" s="38"/>
      <c r="K58" s="38"/>
      <c r="P58" s="232"/>
    </row>
    <row r="59" spans="5:16" x14ac:dyDescent="0.25">
      <c r="J59" s="38"/>
      <c r="K59" s="38"/>
      <c r="P59" s="232"/>
    </row>
    <row r="60" spans="5:16" x14ac:dyDescent="0.25">
      <c r="J60" s="38"/>
      <c r="K60" s="38"/>
      <c r="P60" s="232"/>
    </row>
    <row r="61" spans="5:16" x14ac:dyDescent="0.25">
      <c r="J61" s="38"/>
      <c r="K61" s="38"/>
      <c r="P61" s="232"/>
    </row>
    <row r="62" spans="5:16" x14ac:dyDescent="0.25">
      <c r="J62" s="38"/>
      <c r="K62" s="38"/>
      <c r="M62" s="232"/>
    </row>
  </sheetData>
  <mergeCells count="39">
    <mergeCell ref="E46:J46"/>
    <mergeCell ref="B3:P3"/>
    <mergeCell ref="B13:B14"/>
    <mergeCell ref="C13:C14"/>
    <mergeCell ref="B23:B24"/>
    <mergeCell ref="C23:C24"/>
    <mergeCell ref="B25:B26"/>
    <mergeCell ref="C25:C26"/>
    <mergeCell ref="B19:B20"/>
    <mergeCell ref="C19:C20"/>
    <mergeCell ref="B21:B22"/>
    <mergeCell ref="C21:C22"/>
    <mergeCell ref="B27:B28"/>
    <mergeCell ref="E42:J42"/>
    <mergeCell ref="B4:B5"/>
    <mergeCell ref="B9:B10"/>
    <mergeCell ref="C9:C10"/>
    <mergeCell ref="D4:D5"/>
    <mergeCell ref="B7:B8"/>
    <mergeCell ref="C7:C8"/>
    <mergeCell ref="B15:B16"/>
    <mergeCell ref="C15:C16"/>
    <mergeCell ref="B17:B18"/>
    <mergeCell ref="C17:C18"/>
    <mergeCell ref="B11:B12"/>
    <mergeCell ref="C11:C12"/>
    <mergeCell ref="B36:B37"/>
    <mergeCell ref="C36:C37"/>
    <mergeCell ref="B29:B30"/>
    <mergeCell ref="C29:C30"/>
    <mergeCell ref="B34:B35"/>
    <mergeCell ref="C34:C35"/>
    <mergeCell ref="E43:J43"/>
    <mergeCell ref="E44:J44"/>
    <mergeCell ref="E45:L45"/>
    <mergeCell ref="M4:P4"/>
    <mergeCell ref="C27:C28"/>
    <mergeCell ref="C4:C5"/>
    <mergeCell ref="E4:L4"/>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5"/>
  </sheetPr>
  <dimension ref="A1:M42"/>
  <sheetViews>
    <sheetView showGridLines="0" showRowColHeaders="0" zoomScaleNormal="100" workbookViewId="0"/>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9" x14ac:dyDescent="0.25">
      <c r="B1" s="222" t="s">
        <v>19</v>
      </c>
      <c r="C1" s="3"/>
      <c r="D1" s="3"/>
      <c r="E1" s="3"/>
      <c r="F1" s="3"/>
      <c r="G1" s="3"/>
      <c r="H1" s="3"/>
    </row>
    <row r="2" spans="1:9" ht="14.4" thickBot="1" x14ac:dyDescent="0.3">
      <c r="A2" s="12"/>
    </row>
    <row r="3" spans="1:9" ht="34.200000000000003" customHeight="1" thickBot="1" x14ac:dyDescent="0.3">
      <c r="B3" s="353" t="s">
        <v>117</v>
      </c>
      <c r="C3" s="354"/>
      <c r="D3" s="234"/>
      <c r="E3" s="234"/>
      <c r="F3" s="234"/>
      <c r="G3" s="234"/>
      <c r="H3" s="235"/>
    </row>
    <row r="4" spans="1:9" ht="21.75" customHeight="1" thickBot="1" x14ac:dyDescent="0.3">
      <c r="B4" s="355" t="s">
        <v>57</v>
      </c>
      <c r="C4" s="355" t="s">
        <v>118</v>
      </c>
      <c r="D4" s="355" t="s">
        <v>119</v>
      </c>
      <c r="E4" s="358" t="s">
        <v>23</v>
      </c>
      <c r="F4" s="359"/>
      <c r="G4" s="346" t="s">
        <v>24</v>
      </c>
      <c r="H4" s="347"/>
    </row>
    <row r="5" spans="1:9" ht="14.4" thickBot="1" x14ac:dyDescent="0.3">
      <c r="B5" s="356"/>
      <c r="C5" s="357"/>
      <c r="D5" s="357"/>
      <c r="E5" s="91">
        <f>'2. Macro'!L5</f>
        <v>2021</v>
      </c>
      <c r="F5" s="9" t="str">
        <f>'2. Macro'!M5</f>
        <v>2022N</v>
      </c>
      <c r="G5" s="92">
        <f>E5</f>
        <v>2021</v>
      </c>
      <c r="H5" s="93" t="str">
        <f>F5</f>
        <v>2022N</v>
      </c>
    </row>
    <row r="6" spans="1:9" ht="28.8" thickBot="1" x14ac:dyDescent="0.3">
      <c r="B6" s="208" t="s">
        <v>120</v>
      </c>
      <c r="C6" s="212"/>
      <c r="D6" s="107" t="s">
        <v>121</v>
      </c>
      <c r="E6" s="94">
        <f>'2. Macro'!L8</f>
        <v>55325.584999999999</v>
      </c>
      <c r="F6" s="94">
        <f>'2. Macro'!M8</f>
        <v>60223.56832429699</v>
      </c>
      <c r="G6" s="94">
        <f>'2. Macro'!L7</f>
        <v>55383.1</v>
      </c>
      <c r="H6" s="110">
        <f>'2. Macro'!M7</f>
        <v>60286.175321701536</v>
      </c>
    </row>
    <row r="7" spans="1:9" s="23" customFormat="1" ht="14.4" thickBot="1" x14ac:dyDescent="0.3">
      <c r="B7" s="333" t="s">
        <v>122</v>
      </c>
      <c r="C7" s="348" t="s">
        <v>123</v>
      </c>
      <c r="D7" s="159" t="s">
        <v>121</v>
      </c>
      <c r="E7" s="94">
        <f>E13-E15</f>
        <v>-554.59999999999854</v>
      </c>
      <c r="F7" s="94">
        <f>-2980.7</f>
        <v>-2980.7</v>
      </c>
      <c r="G7" s="94">
        <f>G13-G15</f>
        <v>-554.59999999999854</v>
      </c>
      <c r="H7" s="110">
        <f>H13-H15</f>
        <v>-2930.0859944967924</v>
      </c>
      <c r="I7" s="259"/>
    </row>
    <row r="8" spans="1:9" s="23" customFormat="1" ht="14.4" thickBot="1" x14ac:dyDescent="0.3">
      <c r="B8" s="343"/>
      <c r="C8" s="349"/>
      <c r="D8" s="159" t="s">
        <v>124</v>
      </c>
      <c r="E8" s="94">
        <f>E7/$E$6*100</f>
        <v>-1.0024295269539374</v>
      </c>
      <c r="F8" s="94">
        <f>F7/$F$6*100</f>
        <v>-4.9493912149962176</v>
      </c>
      <c r="G8" s="94">
        <f>G7/$G$6*100</f>
        <v>-1.0013885102134019</v>
      </c>
      <c r="H8" s="110">
        <f>H7/$H$6*100</f>
        <v>-4.8602950491736268</v>
      </c>
    </row>
    <row r="9" spans="1:9" s="23" customFormat="1" ht="14.4" thickBot="1" x14ac:dyDescent="0.3">
      <c r="B9" s="350" t="s">
        <v>125</v>
      </c>
      <c r="C9" s="348" t="s">
        <v>126</v>
      </c>
      <c r="D9" s="159" t="s">
        <v>121</v>
      </c>
      <c r="E9" s="94">
        <v>531.13509536000004</v>
      </c>
      <c r="F9" s="98">
        <v>334.37599999999998</v>
      </c>
      <c r="G9" s="94">
        <f>E9</f>
        <v>531.13509536000004</v>
      </c>
      <c r="H9" s="110">
        <f>F9</f>
        <v>334.37599999999998</v>
      </c>
    </row>
    <row r="10" spans="1:9" s="23" customFormat="1" ht="14.4" thickBot="1" x14ac:dyDescent="0.3">
      <c r="B10" s="351"/>
      <c r="C10" s="349"/>
      <c r="D10" s="159" t="s">
        <v>124</v>
      </c>
      <c r="E10" s="94">
        <f>E9/$E$6*100</f>
        <v>0.96001713377273834</v>
      </c>
      <c r="F10" s="94">
        <f>F9/$F$6*100</f>
        <v>0.55522448985324768</v>
      </c>
      <c r="G10" s="94">
        <f>G9/$G$6*100</f>
        <v>0.95902016203498908</v>
      </c>
      <c r="H10" s="110">
        <f>H9/$H$6*100</f>
        <v>0.55464789102259215</v>
      </c>
      <c r="I10" s="40"/>
    </row>
    <row r="11" spans="1:9" s="23" customFormat="1" ht="14.4" thickBot="1" x14ac:dyDescent="0.3">
      <c r="B11" s="350" t="s">
        <v>127</v>
      </c>
      <c r="C11" s="348" t="s">
        <v>128</v>
      </c>
      <c r="D11" s="159" t="s">
        <v>121</v>
      </c>
      <c r="E11" s="94">
        <v>227.3892415639657</v>
      </c>
      <c r="F11" s="98">
        <v>49.7</v>
      </c>
      <c r="G11" s="94">
        <f>E11</f>
        <v>227.3892415639657</v>
      </c>
      <c r="H11" s="110">
        <f>F11</f>
        <v>49.7</v>
      </c>
      <c r="I11" s="40"/>
    </row>
    <row r="12" spans="1:9" s="23" customFormat="1" ht="14.4" thickBot="1" x14ac:dyDescent="0.3">
      <c r="B12" s="351"/>
      <c r="C12" s="349"/>
      <c r="D12" s="159" t="s">
        <v>124</v>
      </c>
      <c r="E12" s="94">
        <f>E11/$E$6*100</f>
        <v>0.41100196511969234</v>
      </c>
      <c r="F12" s="94">
        <f>F11/$F$6*100</f>
        <v>8.2525830638880804E-2</v>
      </c>
      <c r="G12" s="94">
        <f>G11/$G$6*100</f>
        <v>0.41057514217146696</v>
      </c>
      <c r="H12" s="110">
        <f>H11/$H$6*100</f>
        <v>8.2440127831611226E-2</v>
      </c>
    </row>
    <row r="13" spans="1:9" s="23" customFormat="1" ht="14.4" thickBot="1" x14ac:dyDescent="0.3">
      <c r="B13" s="333" t="s">
        <v>129</v>
      </c>
      <c r="C13" s="335" t="s">
        <v>130</v>
      </c>
      <c r="D13" s="159" t="s">
        <v>121</v>
      </c>
      <c r="E13" s="94">
        <v>20881.839</v>
      </c>
      <c r="F13" s="98">
        <f>F6*F14/100</f>
        <v>22523.614553287072</v>
      </c>
      <c r="G13" s="94">
        <f>E13</f>
        <v>20881.839</v>
      </c>
      <c r="H13" s="257">
        <v>22312.396048357801</v>
      </c>
    </row>
    <row r="14" spans="1:9" s="23" customFormat="1" ht="14.4" thickBot="1" x14ac:dyDescent="0.3">
      <c r="B14" s="334"/>
      <c r="C14" s="336"/>
      <c r="D14" s="159" t="s">
        <v>124</v>
      </c>
      <c r="E14" s="94">
        <f>E13/$E$6*100</f>
        <v>37.743548486654049</v>
      </c>
      <c r="F14" s="94">
        <v>37.4</v>
      </c>
      <c r="G14" s="94">
        <f>G13/$G$6*100</f>
        <v>37.704352049632476</v>
      </c>
      <c r="H14" s="110">
        <f>H13/$H$6*100</f>
        <v>37.010800451834086</v>
      </c>
    </row>
    <row r="15" spans="1:9" s="23" customFormat="1" ht="14.4" thickBot="1" x14ac:dyDescent="0.3">
      <c r="B15" s="333" t="s">
        <v>131</v>
      </c>
      <c r="C15" s="335" t="s">
        <v>132</v>
      </c>
      <c r="D15" s="159" t="s">
        <v>121</v>
      </c>
      <c r="E15" s="94">
        <v>21436.438999999998</v>
      </c>
      <c r="F15" s="98">
        <f>F6*F16/100</f>
        <v>25474.569401177625</v>
      </c>
      <c r="G15" s="94">
        <f>E15</f>
        <v>21436.438999999998</v>
      </c>
      <c r="H15" s="257">
        <v>25242.482042854594</v>
      </c>
      <c r="I15" s="259"/>
    </row>
    <row r="16" spans="1:9" s="23" customFormat="1" ht="14.4" thickBot="1" x14ac:dyDescent="0.3">
      <c r="B16" s="334"/>
      <c r="C16" s="336"/>
      <c r="D16" s="159" t="s">
        <v>124</v>
      </c>
      <c r="E16" s="94">
        <f>E15/$E$6*100</f>
        <v>38.745978013607989</v>
      </c>
      <c r="F16" s="94">
        <v>42.3</v>
      </c>
      <c r="G16" s="94">
        <f>G15/$G$6*100</f>
        <v>38.705740559845871</v>
      </c>
      <c r="H16" s="110">
        <f>H15/$H$6*100</f>
        <v>41.871095501007709</v>
      </c>
    </row>
    <row r="17" spans="2:8" s="23" customFormat="1" ht="15" customHeight="1" thickBot="1" x14ac:dyDescent="0.3">
      <c r="B17" s="350" t="s">
        <v>315</v>
      </c>
      <c r="C17" s="335" t="s">
        <v>316</v>
      </c>
      <c r="D17" s="159" t="s">
        <v>121</v>
      </c>
      <c r="E17" s="94">
        <v>11612.634063830001</v>
      </c>
      <c r="F17" s="98">
        <v>14095.387000000001</v>
      </c>
      <c r="G17" s="94">
        <v>11612.634063830001</v>
      </c>
      <c r="H17" s="257">
        <v>14380.2006634681</v>
      </c>
    </row>
    <row r="18" spans="2:8" s="23" customFormat="1" ht="14.4" thickBot="1" x14ac:dyDescent="0.3">
      <c r="B18" s="351"/>
      <c r="C18" s="336"/>
      <c r="D18" s="159" t="s">
        <v>124</v>
      </c>
      <c r="E18" s="94">
        <f>E17/E6*100</f>
        <v>20.989627247194946</v>
      </c>
      <c r="F18" s="94">
        <f>F17/F6*100</f>
        <v>23.405101013108297</v>
      </c>
      <c r="G18" s="94">
        <f t="shared" ref="G18:H18" si="0">G17/G6*100</f>
        <v>20.967829651698803</v>
      </c>
      <c r="H18" s="110">
        <f t="shared" si="0"/>
        <v>23.85323100483965</v>
      </c>
    </row>
    <row r="19" spans="2:8" s="23" customFormat="1" ht="15" customHeight="1" thickBot="1" x14ac:dyDescent="0.3">
      <c r="B19" s="350" t="s">
        <v>317</v>
      </c>
      <c r="C19" s="335" t="s">
        <v>133</v>
      </c>
      <c r="D19" s="159" t="s">
        <v>121</v>
      </c>
      <c r="E19" s="94">
        <v>7437.2516822100006</v>
      </c>
      <c r="F19" s="98">
        <v>8438.2890000000007</v>
      </c>
      <c r="G19" s="94">
        <f>E19</f>
        <v>7437.2516822100006</v>
      </c>
      <c r="H19" s="257">
        <v>8438.2890000000007</v>
      </c>
    </row>
    <row r="20" spans="2:8" s="23" customFormat="1" ht="14.4" thickBot="1" x14ac:dyDescent="0.3">
      <c r="B20" s="352"/>
      <c r="C20" s="336"/>
      <c r="D20" s="159" t="s">
        <v>124</v>
      </c>
      <c r="E20" s="94">
        <f>E19/E6*100</f>
        <v>13.442698675865788</v>
      </c>
      <c r="F20" s="94">
        <f t="shared" ref="F20:G20" si="1">F19/F6*100</f>
        <v>14.011605812795391</v>
      </c>
      <c r="G20" s="94">
        <f t="shared" si="1"/>
        <v>13.428738518085845</v>
      </c>
      <c r="H20" s="110">
        <f>H19/H6*100</f>
        <v>13.99705480563539</v>
      </c>
    </row>
    <row r="21" spans="2:8" s="23" customFormat="1" ht="15" customHeight="1" thickBot="1" x14ac:dyDescent="0.3">
      <c r="B21" s="333" t="s">
        <v>134</v>
      </c>
      <c r="C21" s="348" t="s">
        <v>318</v>
      </c>
      <c r="D21" s="159" t="s">
        <v>121</v>
      </c>
      <c r="E21" s="94">
        <f t="shared" ref="E21:F21" si="2">E19+E17</f>
        <v>19049.885746040003</v>
      </c>
      <c r="F21" s="94">
        <f t="shared" si="2"/>
        <v>22533.675999999999</v>
      </c>
      <c r="G21" s="94">
        <f>G19+G17</f>
        <v>19049.885746040003</v>
      </c>
      <c r="H21" s="110">
        <f>H17+H19</f>
        <v>22818.489663468099</v>
      </c>
    </row>
    <row r="22" spans="2:8" s="23" customFormat="1" ht="16.5" customHeight="1" thickBot="1" x14ac:dyDescent="0.3">
      <c r="B22" s="343"/>
      <c r="C22" s="349"/>
      <c r="D22" s="159" t="s">
        <v>124</v>
      </c>
      <c r="E22" s="94">
        <f>E21/E$6*100</f>
        <v>34.432325923060738</v>
      </c>
      <c r="F22" s="94">
        <f t="shared" ref="F22:G22" si="3">F21/F$6*100</f>
        <v>37.416706825903681</v>
      </c>
      <c r="G22" s="94">
        <f t="shared" si="3"/>
        <v>34.396568169784651</v>
      </c>
      <c r="H22" s="110">
        <f>H21/H$6*100</f>
        <v>37.850285810475036</v>
      </c>
    </row>
    <row r="23" spans="2:8" s="23" customFormat="1" ht="14.4" thickBot="1" x14ac:dyDescent="0.3">
      <c r="B23" s="333" t="s">
        <v>135</v>
      </c>
      <c r="C23" s="335" t="s">
        <v>136</v>
      </c>
      <c r="D23" s="159" t="s">
        <v>121</v>
      </c>
      <c r="E23" s="262">
        <v>-7.3</v>
      </c>
      <c r="F23" s="261">
        <v>0.5</v>
      </c>
      <c r="G23" s="263">
        <f>E23</f>
        <v>-7.3</v>
      </c>
      <c r="H23" s="263">
        <f>F23</f>
        <v>0.5</v>
      </c>
    </row>
    <row r="24" spans="2:8" ht="14.4" thickBot="1" x14ac:dyDescent="0.3">
      <c r="B24" s="334"/>
      <c r="C24" s="336"/>
      <c r="D24" s="159" t="s">
        <v>124</v>
      </c>
      <c r="E24" s="94">
        <f>E23/$E$6*100</f>
        <v>-1.3194618728387598E-2</v>
      </c>
      <c r="F24" s="94">
        <f>F23/$F$6*100</f>
        <v>8.3023974485795567E-4</v>
      </c>
      <c r="G24" s="94">
        <f>G23/$G$6*100</f>
        <v>-1.3180916200068253E-2</v>
      </c>
      <c r="H24" s="110">
        <f>H23/$H$6*100</f>
        <v>8.2937754357757766E-4</v>
      </c>
    </row>
    <row r="25" spans="2:8" ht="14.4" thickBot="1" x14ac:dyDescent="0.3">
      <c r="B25" s="333" t="s">
        <v>137</v>
      </c>
      <c r="C25" s="335" t="s">
        <v>138</v>
      </c>
      <c r="D25" s="159" t="s">
        <v>121</v>
      </c>
      <c r="E25" s="258">
        <v>0</v>
      </c>
      <c r="F25" s="99">
        <v>0</v>
      </c>
      <c r="G25" s="99">
        <v>0</v>
      </c>
      <c r="H25" s="99">
        <v>0</v>
      </c>
    </row>
    <row r="26" spans="2:8" ht="14.4" thickBot="1" x14ac:dyDescent="0.3">
      <c r="B26" s="334"/>
      <c r="C26" s="336"/>
      <c r="D26" s="159" t="s">
        <v>124</v>
      </c>
      <c r="E26" s="94">
        <f>E25/$E$6*100</f>
        <v>0</v>
      </c>
      <c r="F26" s="94">
        <f>F25/$F$6*100</f>
        <v>0</v>
      </c>
      <c r="G26" s="94">
        <f>G25/$G$6*100</f>
        <v>0</v>
      </c>
      <c r="H26" s="110">
        <f>H25/$H$6*100</f>
        <v>0</v>
      </c>
    </row>
    <row r="27" spans="2:8" ht="14.4" thickBot="1" x14ac:dyDescent="0.3">
      <c r="B27" s="333" t="s">
        <v>139</v>
      </c>
      <c r="C27" s="335" t="s">
        <v>140</v>
      </c>
      <c r="D27" s="159" t="s">
        <v>121</v>
      </c>
      <c r="E27" s="258">
        <v>0</v>
      </c>
      <c r="F27" s="99">
        <v>0</v>
      </c>
      <c r="G27" s="99">
        <v>0</v>
      </c>
      <c r="H27" s="99">
        <v>0</v>
      </c>
    </row>
    <row r="28" spans="2:8" ht="14.4" thickBot="1" x14ac:dyDescent="0.3">
      <c r="B28" s="334"/>
      <c r="C28" s="336"/>
      <c r="D28" s="159" t="s">
        <v>124</v>
      </c>
      <c r="E28" s="94">
        <f>E27/$E$6*100</f>
        <v>0</v>
      </c>
      <c r="F28" s="94">
        <f>F27/$F$6*100</f>
        <v>0</v>
      </c>
      <c r="G28" s="94">
        <f>G27/$G$6*100</f>
        <v>0</v>
      </c>
      <c r="H28" s="110">
        <f>H27/$H$6*100</f>
        <v>0</v>
      </c>
    </row>
    <row r="29" spans="2:8" ht="28.8" thickBot="1" x14ac:dyDescent="0.3">
      <c r="B29" s="210" t="s">
        <v>141</v>
      </c>
      <c r="C29" s="159" t="s">
        <v>142</v>
      </c>
      <c r="D29" s="159" t="s">
        <v>124</v>
      </c>
      <c r="E29" s="39">
        <v>0</v>
      </c>
      <c r="F29" s="39">
        <v>0</v>
      </c>
      <c r="G29" s="39">
        <f>E29</f>
        <v>0</v>
      </c>
      <c r="H29" s="39">
        <f>F29</f>
        <v>0</v>
      </c>
    </row>
    <row r="30" spans="2:8" ht="33" customHeight="1" thickBot="1" x14ac:dyDescent="0.3">
      <c r="B30" s="210" t="s">
        <v>143</v>
      </c>
      <c r="C30" s="159" t="s">
        <v>144</v>
      </c>
      <c r="D30" s="159" t="s">
        <v>124</v>
      </c>
      <c r="E30" s="258">
        <f>E8-'2. Macro'!L22-E24+E29</f>
        <v>-1.1636836478653441</v>
      </c>
      <c r="F30" s="99">
        <f>F8-'2. Macro'!M22-F24+F29</f>
        <v>-4.6513695399000046</v>
      </c>
      <c r="G30" s="260">
        <f>G8-'2. Macro'!L21-G24+G29</f>
        <v>-1.8598652717072561</v>
      </c>
      <c r="H30" s="260">
        <f>H8-'2. Macro'!M21-H24+H29</f>
        <v>-5.1222783204466662</v>
      </c>
    </row>
    <row r="31" spans="2:8" ht="28.8" thickBot="1" x14ac:dyDescent="0.3">
      <c r="B31" s="210" t="s">
        <v>145</v>
      </c>
      <c r="C31" s="159" t="s">
        <v>146</v>
      </c>
      <c r="D31" s="159" t="s">
        <v>124</v>
      </c>
      <c r="E31" s="19">
        <f>E10-'2. Macro'!L24-E26</f>
        <v>0.92460272798120113</v>
      </c>
      <c r="F31" s="19">
        <f>F10-'2. Macro'!M24-F26</f>
        <v>0.6301247191367243</v>
      </c>
      <c r="G31" s="19">
        <f>G10-'2. Macro'!L23-G26</f>
        <v>0.7820670996459973</v>
      </c>
      <c r="H31" s="19">
        <f>H10-'2. Macro'!M23-H26</f>
        <v>0.48919578733099767</v>
      </c>
    </row>
    <row r="32" spans="2:8" ht="28.8" thickBot="1" x14ac:dyDescent="0.3">
      <c r="B32" s="210" t="s">
        <v>147</v>
      </c>
      <c r="C32" s="159" t="s">
        <v>148</v>
      </c>
      <c r="D32" s="159" t="s">
        <v>124</v>
      </c>
      <c r="E32" s="19">
        <f>E12-'2. Macro'!L26-E28</f>
        <v>0.39307615478076613</v>
      </c>
      <c r="F32" s="19">
        <f>F12-'2. Macro'!M26-F28</f>
        <v>0.11997594528061911</v>
      </c>
      <c r="G32" s="39">
        <f>E12-'2. Macro'!L25-G28</f>
        <v>0.3214331310709434</v>
      </c>
      <c r="H32" s="39">
        <f>H12-'2. Macro'!M25-H28</f>
        <v>4.9714075985813982E-2</v>
      </c>
    </row>
    <row r="33" spans="2:13" ht="28.8" thickBot="1" x14ac:dyDescent="0.3">
      <c r="B33" s="210" t="s">
        <v>149</v>
      </c>
      <c r="C33" s="211" t="s">
        <v>150</v>
      </c>
      <c r="D33" s="159" t="s">
        <v>124</v>
      </c>
      <c r="E33" s="111">
        <v>-1</v>
      </c>
      <c r="F33" s="111">
        <v>-1</v>
      </c>
      <c r="G33" s="111">
        <v>-1</v>
      </c>
      <c r="H33" s="256">
        <v>-1</v>
      </c>
    </row>
    <row r="34" spans="2:13" ht="28.8" thickBot="1" x14ac:dyDescent="0.3">
      <c r="B34" s="210" t="s">
        <v>151</v>
      </c>
      <c r="C34" s="211" t="s">
        <v>152</v>
      </c>
      <c r="D34" s="159" t="s">
        <v>124</v>
      </c>
      <c r="E34" s="111">
        <v>0</v>
      </c>
      <c r="F34" s="111">
        <v>0</v>
      </c>
      <c r="G34" s="111">
        <v>0</v>
      </c>
      <c r="H34" s="256">
        <v>0</v>
      </c>
    </row>
    <row r="35" spans="2:13" x14ac:dyDescent="0.25">
      <c r="C35" s="41"/>
      <c r="D35" s="41"/>
      <c r="E35" s="41"/>
      <c r="F35" s="41"/>
      <c r="G35" s="41"/>
      <c r="H35" s="41"/>
    </row>
    <row r="36" spans="2:13" ht="15" thickBot="1" x14ac:dyDescent="0.35">
      <c r="C36" s="10" t="s">
        <v>50</v>
      </c>
      <c r="D36" s="10"/>
      <c r="E36" s="194" t="s">
        <v>51</v>
      </c>
      <c r="F36" s="96"/>
      <c r="G36" s="96"/>
      <c r="H36" s="96"/>
    </row>
    <row r="37" spans="2:13" ht="15" thickBot="1" x14ac:dyDescent="0.35">
      <c r="B37" s="42"/>
      <c r="C37" s="43" t="s">
        <v>153</v>
      </c>
      <c r="D37" s="31"/>
      <c r="E37" s="195" t="s">
        <v>154</v>
      </c>
      <c r="F37" s="95"/>
      <c r="G37" s="95"/>
    </row>
    <row r="38" spans="2:13" ht="15" customHeight="1" thickBot="1" x14ac:dyDescent="0.35">
      <c r="B38" s="44"/>
      <c r="C38" s="10" t="s">
        <v>110</v>
      </c>
      <c r="D38" s="32"/>
      <c r="E38" s="324" t="s">
        <v>111</v>
      </c>
      <c r="F38" s="325"/>
      <c r="G38" s="325"/>
      <c r="H38" s="325"/>
      <c r="I38" s="325"/>
      <c r="J38" s="325"/>
      <c r="K38" s="325"/>
      <c r="L38" s="325"/>
      <c r="M38" s="325"/>
    </row>
    <row r="39" spans="2:13" ht="15" thickBot="1" x14ac:dyDescent="0.35">
      <c r="C39" s="10"/>
      <c r="E39" s="134"/>
    </row>
    <row r="40" spans="2:13" ht="14.4" thickBot="1" x14ac:dyDescent="0.3">
      <c r="C40" s="33" t="s">
        <v>114</v>
      </c>
      <c r="D40" s="34"/>
      <c r="E40" s="196" t="s">
        <v>115</v>
      </c>
      <c r="F40" s="97"/>
      <c r="G40" s="97"/>
    </row>
    <row r="41" spans="2:13" ht="14.4" customHeight="1" x14ac:dyDescent="0.25">
      <c r="C41" s="345"/>
      <c r="D41" s="345"/>
      <c r="E41" s="24"/>
      <c r="F41" s="24"/>
      <c r="G41" s="24"/>
      <c r="H41" s="24"/>
    </row>
    <row r="42" spans="2:13" x14ac:dyDescent="0.25">
      <c r="C42" s="345"/>
      <c r="D42" s="345"/>
      <c r="E42" s="24"/>
      <c r="F42" s="24"/>
      <c r="G42" s="24"/>
      <c r="H42" s="24"/>
    </row>
  </sheetData>
  <mergeCells count="31">
    <mergeCell ref="B3:C3"/>
    <mergeCell ref="B4:B5"/>
    <mergeCell ref="C4:C5"/>
    <mergeCell ref="D4:D5"/>
    <mergeCell ref="E38:M38"/>
    <mergeCell ref="E4:F4"/>
    <mergeCell ref="C27:C28"/>
    <mergeCell ref="B15:B16"/>
    <mergeCell ref="C15:C16"/>
    <mergeCell ref="B23:B24"/>
    <mergeCell ref="C23:C24"/>
    <mergeCell ref="B25:B26"/>
    <mergeCell ref="C25:C26"/>
    <mergeCell ref="B21:B22"/>
    <mergeCell ref="C21:C22"/>
    <mergeCell ref="B27:B28"/>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rgb="FF47ABD9"/>
  </sheetPr>
  <dimension ref="A1:J45"/>
  <sheetViews>
    <sheetView showGridLines="0" showRowColHeaders="0" zoomScaleNormal="100" workbookViewId="0"/>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0" x14ac:dyDescent="0.25">
      <c r="A1" s="2"/>
      <c r="B1" s="382" t="s">
        <v>19</v>
      </c>
      <c r="C1" s="382"/>
      <c r="D1" s="2"/>
    </row>
    <row r="2" spans="1:10" ht="14.4" thickBot="1" x14ac:dyDescent="0.3">
      <c r="A2" s="12" t="s">
        <v>20</v>
      </c>
    </row>
    <row r="3" spans="1:10" ht="34.5" customHeight="1" thickTop="1" thickBot="1" x14ac:dyDescent="0.3">
      <c r="A3" s="13"/>
      <c r="B3" s="305" t="s">
        <v>327</v>
      </c>
      <c r="C3" s="383"/>
      <c r="D3" s="383"/>
      <c r="E3" s="383"/>
      <c r="F3" s="384"/>
    </row>
    <row r="4" spans="1:10" ht="41.25" customHeight="1" thickBot="1" x14ac:dyDescent="0.3">
      <c r="B4" s="104" t="s">
        <v>155</v>
      </c>
      <c r="C4" s="133" t="s">
        <v>156</v>
      </c>
      <c r="D4" s="133" t="s">
        <v>157</v>
      </c>
      <c r="E4" s="385" t="s">
        <v>158</v>
      </c>
      <c r="F4" s="386"/>
    </row>
    <row r="5" spans="1:10" ht="33" customHeight="1" thickBot="1" x14ac:dyDescent="0.3">
      <c r="B5" s="387" t="s">
        <v>159</v>
      </c>
      <c r="C5" s="388"/>
      <c r="D5" s="389"/>
      <c r="E5" s="128" t="s">
        <v>23</v>
      </c>
      <c r="F5" s="129" t="s">
        <v>24</v>
      </c>
    </row>
    <row r="6" spans="1:10" ht="14.25" customHeight="1" x14ac:dyDescent="0.25">
      <c r="B6" s="390"/>
      <c r="C6" s="144" t="s">
        <v>160</v>
      </c>
      <c r="D6" s="376"/>
      <c r="E6" s="363" t="str">
        <f>"Taip"</f>
        <v>Taip</v>
      </c>
      <c r="F6" s="364"/>
    </row>
    <row r="7" spans="1:10" ht="14.25" customHeight="1" thickBot="1" x14ac:dyDescent="0.35">
      <c r="B7" s="391"/>
      <c r="C7" s="145" t="s">
        <v>29</v>
      </c>
      <c r="D7" s="377"/>
      <c r="E7" s="374" t="str">
        <f>"Yes"</f>
        <v>Yes</v>
      </c>
      <c r="F7" s="375"/>
    </row>
    <row r="8" spans="1:10" ht="18" customHeight="1" x14ac:dyDescent="0.25">
      <c r="B8" s="379" t="s">
        <v>161</v>
      </c>
      <c r="C8" s="371" t="s">
        <v>162</v>
      </c>
      <c r="D8" s="355" t="s">
        <v>163</v>
      </c>
      <c r="E8" s="151" t="str">
        <f>IF(E28&gt;eps,"Tiesa","Netiesa")</f>
        <v>Netiesa</v>
      </c>
      <c r="F8" s="46" t="str">
        <f>IF(F28&gt;eps,"Tiesa","Netiesa")</f>
        <v>Netiesa</v>
      </c>
    </row>
    <row r="9" spans="1:10" ht="15.75" customHeight="1" x14ac:dyDescent="0.25">
      <c r="B9" s="380"/>
      <c r="C9" s="372"/>
      <c r="D9" s="373"/>
      <c r="E9" s="485" t="str">
        <f>CONCATENATE(FIXED(E28,1),IF(E28="Tiesa"," ≥ "," &lt; "),FIXED(0,1))</f>
        <v>-4,7 &lt; 0,0</v>
      </c>
      <c r="F9" s="486" t="str">
        <f>CONCATENATE(FIXED(F28,1),IF(F28="Tiesa"," ≥ "," &lt; "),FIXED(0,1))</f>
        <v>-5,1 &lt; 0,0</v>
      </c>
      <c r="H9" s="47"/>
    </row>
    <row r="10" spans="1:10" ht="15" thickBot="1" x14ac:dyDescent="0.3">
      <c r="B10" s="381"/>
      <c r="C10" s="146" t="s">
        <v>164</v>
      </c>
      <c r="D10" s="357"/>
      <c r="E10" s="135" t="str">
        <f>IF(E8="Tiesa","True","False")</f>
        <v>False</v>
      </c>
      <c r="F10" s="126" t="str">
        <f>IF(F8="Tiesa","True","False")</f>
        <v>False</v>
      </c>
      <c r="H10" s="47"/>
    </row>
    <row r="11" spans="1:10" ht="36" customHeight="1" x14ac:dyDescent="0.25">
      <c r="B11" s="379" t="s">
        <v>165</v>
      </c>
      <c r="C11" s="371" t="s">
        <v>166</v>
      </c>
      <c r="D11" s="355" t="s">
        <v>167</v>
      </c>
      <c r="E11" s="151" t="str">
        <f>IF((ABS(E28)+eps&lt;ABS($E$30))*(ABS(E28)&lt;ABS(E29))*(E31&gt;=-eps),"Tiesa","Netiesa")</f>
        <v>Netiesa</v>
      </c>
      <c r="F11" s="46" t="str">
        <f>IF((ABS(F28)+eps&lt;ABS($E$30))*(ABS(F28)&lt;ABS(F29))*(F31&gt;=-eps),"Tiesa","Netiesa")</f>
        <v>Netiesa</v>
      </c>
      <c r="I11" s="25"/>
    </row>
    <row r="12" spans="1:10" ht="43.5" customHeight="1" x14ac:dyDescent="0.25">
      <c r="B12" s="380"/>
      <c r="C12" s="372"/>
      <c r="D12" s="373"/>
      <c r="E12" s="88" t="str">
        <f>CONCATENATE(FIXED(ABS(E28),1),IF(ABS(E28)+eps&lt;ABS($E$30)," &lt; "," ≥ "),FIXED(ABS($E$30),1)," &amp;
",FIXED(ABS(E28),1),IF(ABS(E28)&lt;ABS(E29)," &lt; "," ≥ "),FIXED(ABS(E29),1)," &amp;
",FIXED(E31,1),IF(E31&lt;-eps," &lt; "," ≥ "),FIXED(0,1))</f>
        <v>4,7 ≥ 1,0 &amp;
4,7 ≥ 1,2 &amp;
-0,7 &lt; 0,0</v>
      </c>
      <c r="F12" s="143" t="str">
        <f>CONCATENATE(FIXED(ABS(F28),1),IF(ABS(F28)+eps&lt;ABS($E$30)," &lt; "," ≥ "),FIXED(ABS($E$30),1)," &amp;
",FIXED(ABS(F28),1),IF(ABS(F28)&lt;ABS(F29)," &lt; "," ≥ "),FIXED(ABS(F29),1)," &amp;
",FIXED(F31,1),IF(F31&lt;-eps," &lt; "," ≥ "),FIXED(0,1))</f>
        <v>5,1 ≥ 1,0 &amp;
5,1 ≥ 1,9 &amp;
0,7 ≥ 0,0</v>
      </c>
      <c r="G12" s="48"/>
      <c r="H12" s="49"/>
      <c r="I12" s="25"/>
      <c r="J12" s="25"/>
    </row>
    <row r="13" spans="1:10" ht="45" customHeight="1" thickBot="1" x14ac:dyDescent="0.3">
      <c r="B13" s="381"/>
      <c r="C13" s="146" t="s">
        <v>168</v>
      </c>
      <c r="D13" s="357"/>
      <c r="E13" s="90" t="str">
        <f>IF(E11="Tiesa","True","False")</f>
        <v>False</v>
      </c>
      <c r="F13" s="136" t="str">
        <f>IF(F11="Tiesa","True","False")</f>
        <v>False</v>
      </c>
      <c r="G13" s="48"/>
      <c r="H13" s="49"/>
      <c r="I13" s="25"/>
      <c r="J13" s="25"/>
    </row>
    <row r="14" spans="1:10" ht="33.75" customHeight="1" x14ac:dyDescent="0.25">
      <c r="B14" s="379" t="s">
        <v>169</v>
      </c>
      <c r="C14" s="371" t="s">
        <v>170</v>
      </c>
      <c r="D14" s="355" t="s">
        <v>171</v>
      </c>
      <c r="E14" s="151" t="str">
        <f>IF((ABS(E28)+eps&lt;ABS($E$30))*(E31&lt;-eps),"Tiesa","Netiesa")</f>
        <v>Netiesa</v>
      </c>
      <c r="F14" s="46" t="str">
        <f>IF((ABS(F28)+eps&lt;ABS($E$30))*(F31&lt;-eps),"Tiesa","Netiesa")</f>
        <v>Netiesa</v>
      </c>
      <c r="I14" s="25"/>
      <c r="J14" s="25"/>
    </row>
    <row r="15" spans="1:10" ht="33" customHeight="1" x14ac:dyDescent="0.25">
      <c r="B15" s="380"/>
      <c r="C15" s="372"/>
      <c r="D15" s="373"/>
      <c r="E15" s="88" t="str">
        <f>CONCATENATE(FIXED(ABS(E28),1),IF(ABS(E28)+eps&lt;ABS($E$30)," &lt; "," ≥ "),FIXED(ABS($E$30),1)," &amp;
",FIXED(E31,1),IF(E31&lt;-eps," &lt; "," ≥ "),FIXED(0,1))</f>
        <v>4,7 ≥ 1,0 &amp;
-0,7 &lt; 0,0</v>
      </c>
      <c r="F15" s="143" t="str">
        <f>CONCATENATE(FIXED(ABS(F28),1),IF(ABS(F28)+eps&lt;ABS($E$30)," &lt; "," ≥ "),FIXED(ABS($E$30),1)," &amp;
",FIXED(F31,1),IF(F31&lt;-eps," &lt; "," ≥ "),FIXED(0,1))</f>
        <v>5,1 ≥ 1,0 &amp;
0,7 ≥ 0,0</v>
      </c>
    </row>
    <row r="16" spans="1:10" ht="44.25" customHeight="1" thickBot="1" x14ac:dyDescent="0.3">
      <c r="B16" s="381"/>
      <c r="C16" s="146" t="s">
        <v>172</v>
      </c>
      <c r="D16" s="357"/>
      <c r="E16" s="90" t="str">
        <f>IF(E14="Tiesa","True","False")</f>
        <v>False</v>
      </c>
      <c r="F16" s="125" t="str">
        <f>IF(F14="Tiesa","True","False")</f>
        <v>False</v>
      </c>
    </row>
    <row r="17" spans="2:6" ht="34.5" customHeight="1" x14ac:dyDescent="0.25">
      <c r="B17" s="379" t="s">
        <v>173</v>
      </c>
      <c r="C17" s="393" t="s">
        <v>174</v>
      </c>
      <c r="D17" s="368" t="s">
        <v>175</v>
      </c>
      <c r="E17" s="151" t="str">
        <f>IF(($E$32&gt;0),IF((E28&gt;=E29+$E$32),"Tiesa","Netiesa"),"Netaikoma")</f>
        <v>Netaikoma</v>
      </c>
      <c r="F17" s="153" t="str">
        <f>IF(($E$32&gt;0),IF((E28&gt;=E29+$E$32),"Tiesa","Netiesa"),"Netaikoma")</f>
        <v>Netaikoma</v>
      </c>
    </row>
    <row r="18" spans="2:6" ht="15.75" customHeight="1" x14ac:dyDescent="0.25">
      <c r="B18" s="380"/>
      <c r="C18" s="394"/>
      <c r="D18" s="369"/>
      <c r="E18" s="152" t="str">
        <f>IF($E$32=0,"",CONCATENATE(FIXED(E28,1),IF(E28&gt;=E29+$E$32," ≥ "," &lt; "),FIXED(E29,1)," + ",FIXED($E$32,1)," = ",FIXED(E29+$E$32,1)))</f>
        <v/>
      </c>
      <c r="F18" s="143" t="str">
        <f>IF($E$32=0,"",CONCATENATE(FIXED(F28,1),IF(F28&gt;=F29+$E$32," ≥ "," &lt; "),FIXED(F29,1)," + ",FIXED($E$32,1)," = ",FIXED(F29+$E$32,1)))</f>
        <v/>
      </c>
    </row>
    <row r="19" spans="2:6" ht="47.25" customHeight="1" thickBot="1" x14ac:dyDescent="0.3">
      <c r="B19" s="381"/>
      <c r="C19" s="147" t="s">
        <v>176</v>
      </c>
      <c r="D19" s="395"/>
      <c r="E19" s="90" t="str">
        <f>IF(E17="Tiesa","True",IF(E17="Netaikoma","Not applicable","False"))</f>
        <v>Not applicable</v>
      </c>
      <c r="F19" s="125" t="str">
        <f>IF(F17="Tiesa","True",IF(F17="Netaikoma","Not applicable","False"))</f>
        <v>Not applicable</v>
      </c>
    </row>
    <row r="20" spans="2:6" x14ac:dyDescent="0.25">
      <c r="B20" s="379" t="s">
        <v>177</v>
      </c>
      <c r="C20" s="366" t="s">
        <v>178</v>
      </c>
      <c r="D20" s="368"/>
      <c r="E20" s="50" t="str">
        <f>IF(E6="Taip","Netaikoma", IF(OR(E8="Tiesa",E11="Tiesa",E14="Tiesa",E17="Tiesa"),"Taip","Ne"))</f>
        <v>Netaikoma</v>
      </c>
      <c r="F20" s="51" t="str">
        <f>IF(E6="Taip","Netaikoma", IF(OR(F8="Tiesa",F11="Tiesa",F14="Tiesa",F17="Tiesa"),"Taip","Ne"))</f>
        <v>Netaikoma</v>
      </c>
    </row>
    <row r="21" spans="2:6" ht="43.95" customHeight="1" x14ac:dyDescent="0.25">
      <c r="B21" s="380"/>
      <c r="C21" s="367"/>
      <c r="D21" s="369"/>
      <c r="E21" s="139"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01"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2:6" ht="21" customHeight="1" x14ac:dyDescent="0.25">
      <c r="B22" s="380"/>
      <c r="C22" s="396" t="s">
        <v>179</v>
      </c>
      <c r="D22" s="369"/>
      <c r="E22" s="140" t="str">
        <f>IF(E20="Taip","Yes",IF(E20="Netaikoma","Not applicable","False"))</f>
        <v>Not applicable</v>
      </c>
      <c r="F22" s="102" t="str">
        <f>IF(F20="Taip","Yes",IF(F20="Netaikoma","Not applicable","False"))</f>
        <v>Not applicable</v>
      </c>
    </row>
    <row r="23" spans="2:6" ht="28.5" customHeight="1" thickBot="1" x14ac:dyDescent="0.3">
      <c r="B23" s="392"/>
      <c r="C23" s="397"/>
      <c r="D23" s="370"/>
      <c r="E23" s="141"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42"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2:6" ht="15.75" customHeight="1" thickTop="1" x14ac:dyDescent="0.25">
      <c r="C24" s="360" t="s">
        <v>180</v>
      </c>
      <c r="D24" s="360"/>
      <c r="E24" s="360"/>
      <c r="F24" s="360"/>
    </row>
    <row r="25" spans="2:6" ht="15.75" customHeight="1" x14ac:dyDescent="0.25">
      <c r="C25" s="378" t="s">
        <v>181</v>
      </c>
      <c r="D25" s="378"/>
      <c r="E25" s="378"/>
      <c r="F25" s="378"/>
    </row>
    <row r="26" spans="2:6" ht="14.4" thickBot="1" x14ac:dyDescent="0.3">
      <c r="C26" s="53" t="s">
        <v>182</v>
      </c>
      <c r="D26" s="53"/>
      <c r="E26" s="13"/>
      <c r="F26" s="13"/>
    </row>
    <row r="27" spans="2:6" ht="14.4" thickBot="1" x14ac:dyDescent="0.3">
      <c r="C27" s="106" t="s">
        <v>183</v>
      </c>
      <c r="D27" s="54" t="s">
        <v>184</v>
      </c>
      <c r="E27" s="361">
        <v>2022</v>
      </c>
      <c r="F27" s="361"/>
    </row>
    <row r="28" spans="2:6" ht="14.4" thickBot="1" x14ac:dyDescent="0.3">
      <c r="D28" s="54" t="s">
        <v>185</v>
      </c>
      <c r="E28" s="56">
        <f>'3. GGbudget'!F30</f>
        <v>-4.6513695399000046</v>
      </c>
      <c r="F28" s="57">
        <f>'3. GGbudget'!H30</f>
        <v>-5.1222783204466662</v>
      </c>
    </row>
    <row r="29" spans="2:6" ht="14.4" thickBot="1" x14ac:dyDescent="0.3">
      <c r="D29" s="54" t="s">
        <v>186</v>
      </c>
      <c r="E29" s="56">
        <f>'3. GGbudget'!E30</f>
        <v>-1.1636836478653441</v>
      </c>
      <c r="F29" s="57">
        <f>'3. GGbudget'!G30</f>
        <v>-1.8598652717072561</v>
      </c>
    </row>
    <row r="30" spans="2:6" ht="14.4" thickBot="1" x14ac:dyDescent="0.3">
      <c r="D30" s="54" t="s">
        <v>187</v>
      </c>
      <c r="E30" s="362">
        <f>'3. GGbudget'!F33</f>
        <v>-1</v>
      </c>
      <c r="F30" s="362"/>
    </row>
    <row r="31" spans="2:6" ht="14.4" thickBot="1" x14ac:dyDescent="0.3">
      <c r="D31" s="54" t="s">
        <v>188</v>
      </c>
      <c r="E31" s="56">
        <f>'2. Macro'!M20</f>
        <v>-0.74900229283476616</v>
      </c>
      <c r="F31" s="57">
        <f>'2. Macro'!M19</f>
        <v>0.65452103691594488</v>
      </c>
    </row>
    <row r="32" spans="2:6" ht="14.4" thickBot="1" x14ac:dyDescent="0.3">
      <c r="D32" s="54" t="s">
        <v>189</v>
      </c>
      <c r="E32" s="365">
        <f>'3. GGbudget'!F34</f>
        <v>0</v>
      </c>
      <c r="F32" s="365"/>
    </row>
    <row r="33" spans="3:9" ht="15" thickBot="1" x14ac:dyDescent="0.35">
      <c r="D33" s="10" t="s">
        <v>50</v>
      </c>
      <c r="G33" s="207" t="s">
        <v>51</v>
      </c>
    </row>
    <row r="34" spans="3:9" ht="15" thickBot="1" x14ac:dyDescent="0.35">
      <c r="C34" s="10"/>
      <c r="D34" s="10" t="s">
        <v>52</v>
      </c>
      <c r="E34" s="314" t="s">
        <v>23</v>
      </c>
      <c r="F34" s="315"/>
      <c r="G34" s="207" t="s">
        <v>53</v>
      </c>
    </row>
    <row r="35" spans="3:9" ht="15" thickBot="1" x14ac:dyDescent="0.35">
      <c r="C35" s="10"/>
      <c r="D35" s="10" t="s">
        <v>54</v>
      </c>
      <c r="E35" s="316" t="s">
        <v>24</v>
      </c>
      <c r="F35" s="317"/>
      <c r="G35" s="233" t="s">
        <v>55</v>
      </c>
    </row>
    <row r="36" spans="3:9" s="12" customFormat="1" ht="14.4" x14ac:dyDescent="0.3">
      <c r="C36" s="58" t="s">
        <v>190</v>
      </c>
      <c r="D36" s="59" t="s">
        <v>191</v>
      </c>
      <c r="E36" s="137">
        <f>J13*1</f>
        <v>0</v>
      </c>
      <c r="F36" s="60"/>
    </row>
    <row r="37" spans="3:9" s="12" customFormat="1" ht="14.4" x14ac:dyDescent="0.3">
      <c r="C37" s="58" t="s">
        <v>192</v>
      </c>
      <c r="D37" s="59" t="s">
        <v>193</v>
      </c>
      <c r="E37" s="137">
        <f>J15*1</f>
        <v>0</v>
      </c>
      <c r="F37" s="60"/>
    </row>
    <row r="38" spans="3:9" s="12" customFormat="1" ht="14.4" x14ac:dyDescent="0.3">
      <c r="C38" s="58" t="s">
        <v>194</v>
      </c>
      <c r="D38" s="59" t="s">
        <v>195</v>
      </c>
      <c r="E38" s="137">
        <f>J17*1</f>
        <v>0</v>
      </c>
      <c r="F38" s="60"/>
      <c r="G38" s="61"/>
    </row>
    <row r="39" spans="3:9" s="12" customFormat="1" ht="14.4" x14ac:dyDescent="0.3">
      <c r="C39" s="58" t="s">
        <v>196</v>
      </c>
      <c r="D39" s="59" t="s">
        <v>197</v>
      </c>
      <c r="E39" s="137">
        <f>J19*1</f>
        <v>0</v>
      </c>
      <c r="F39" s="60"/>
      <c r="G39" s="61"/>
    </row>
    <row r="40" spans="3:9" s="12" customFormat="1" ht="14.4" x14ac:dyDescent="0.3">
      <c r="E40" s="137">
        <f>SUM(E36:E39)</f>
        <v>0</v>
      </c>
      <c r="F40" s="60"/>
    </row>
    <row r="41" spans="3:9" ht="14.4" x14ac:dyDescent="0.3">
      <c r="C41" s="23"/>
      <c r="D41" s="23"/>
      <c r="E41" s="138"/>
      <c r="F41" s="23"/>
      <c r="G41" s="12"/>
      <c r="H41" s="12"/>
      <c r="I41" s="12"/>
    </row>
    <row r="42" spans="3:9" x14ac:dyDescent="0.25">
      <c r="C42" s="23"/>
      <c r="D42" s="23"/>
      <c r="E42" s="23"/>
      <c r="F42" s="23"/>
      <c r="G42" s="12"/>
      <c r="H42" s="12"/>
      <c r="I42" s="12"/>
    </row>
    <row r="43" spans="3:9" x14ac:dyDescent="0.25">
      <c r="C43" s="25"/>
      <c r="D43" s="23"/>
      <c r="E43" s="23"/>
      <c r="F43" s="23"/>
    </row>
    <row r="44" spans="3:9" x14ac:dyDescent="0.25">
      <c r="C44" s="25"/>
      <c r="D44" s="23"/>
      <c r="E44" s="23"/>
      <c r="F44" s="23"/>
    </row>
    <row r="45" spans="3:9" x14ac:dyDescent="0.25">
      <c r="C45" s="25"/>
      <c r="D45" s="25"/>
      <c r="E45" s="25"/>
      <c r="F45" s="25"/>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rgb="FF47ABD9"/>
  </sheetPr>
  <dimension ref="A1:O79"/>
  <sheetViews>
    <sheetView showGridLines="0" showRowColHeaders="0" zoomScaleNormal="100" workbookViewId="0"/>
  </sheetViews>
  <sheetFormatPr defaultColWidth="10" defaultRowHeight="13.8" x14ac:dyDescent="0.25"/>
  <cols>
    <col min="1" max="1" width="3.6640625" style="1" customWidth="1"/>
    <col min="2" max="2" width="5.5546875" style="108" customWidth="1"/>
    <col min="3" max="3" width="101.88671875" style="1" customWidth="1"/>
    <col min="4" max="4" width="14.5546875" style="1" customWidth="1"/>
    <col min="5" max="5" width="21.44140625" style="1" customWidth="1"/>
    <col min="6" max="7" width="17" style="1" customWidth="1"/>
    <col min="8" max="8" width="8.5546875" style="1" customWidth="1"/>
    <col min="9" max="16384" width="10" style="1"/>
  </cols>
  <sheetData>
    <row r="1" spans="1:10" x14ac:dyDescent="0.25">
      <c r="A1" s="2"/>
      <c r="B1" s="382" t="s">
        <v>19</v>
      </c>
      <c r="C1" s="382"/>
    </row>
    <row r="2" spans="1:10" ht="14.4" thickBot="1" x14ac:dyDescent="0.3">
      <c r="A2" s="12" t="s">
        <v>20</v>
      </c>
    </row>
    <row r="3" spans="1:10" ht="39.75" customHeight="1" thickTop="1" thickBot="1" x14ac:dyDescent="0.3">
      <c r="B3" s="305" t="s">
        <v>325</v>
      </c>
      <c r="C3" s="383"/>
      <c r="D3" s="383"/>
      <c r="E3" s="383"/>
      <c r="F3" s="383"/>
      <c r="G3" s="384"/>
    </row>
    <row r="4" spans="1:10" ht="30" customHeight="1" thickBot="1" x14ac:dyDescent="0.3">
      <c r="B4" s="104" t="s">
        <v>198</v>
      </c>
      <c r="C4" s="105" t="s">
        <v>199</v>
      </c>
      <c r="D4" s="414" t="s">
        <v>157</v>
      </c>
      <c r="E4" s="415"/>
      <c r="F4" s="416" t="s">
        <v>158</v>
      </c>
      <c r="G4" s="417"/>
      <c r="H4" s="223"/>
    </row>
    <row r="5" spans="1:10" ht="33.75" customHeight="1" thickBot="1" x14ac:dyDescent="0.3">
      <c r="B5" s="387" t="s">
        <v>159</v>
      </c>
      <c r="C5" s="388"/>
      <c r="D5" s="388"/>
      <c r="E5" s="389"/>
      <c r="F5" s="128" t="s">
        <v>23</v>
      </c>
      <c r="G5" s="129" t="s">
        <v>24</v>
      </c>
      <c r="H5" s="5"/>
      <c r="I5" s="5"/>
      <c r="J5" s="5"/>
    </row>
    <row r="6" spans="1:10" ht="30" customHeight="1" x14ac:dyDescent="0.25">
      <c r="B6" s="424" t="s">
        <v>200</v>
      </c>
      <c r="C6" s="371" t="s">
        <v>201</v>
      </c>
      <c r="D6" s="418"/>
      <c r="E6" s="419"/>
      <c r="F6" s="100" t="str">
        <f>IF(F59+eps&lt;AVERAGE('2. Macro'!G33:K33)+2,"Tiesa","Netiesa")</f>
        <v>Netiesa</v>
      </c>
      <c r="G6" s="63" t="str">
        <f>IF(F59+eps&lt;AVERAGE('2. Macro'!G33:K33)+2,"Tiesa","Netiesa")</f>
        <v>Netiesa</v>
      </c>
      <c r="H6" s="5"/>
      <c r="I6" s="5"/>
      <c r="J6" s="5"/>
    </row>
    <row r="7" spans="1:10" ht="19.5" customHeight="1" x14ac:dyDescent="0.25">
      <c r="B7" s="425"/>
      <c r="C7" s="372"/>
      <c r="D7" s="420"/>
      <c r="E7" s="421"/>
      <c r="F7" s="100" t="str">
        <f>CONCATENATE(FIXED(F59,1),IF(F6="Tiesa"," &lt; "," ≥ "),FIXED(AVERAGE('2. Macro'!H33:L33)+2,1))</f>
        <v>11,9 ≥ 4,9</v>
      </c>
      <c r="G7" s="122" t="str">
        <f>CONCATENATE(FIXED(G59,1),IF(G6="Tiesa"," &lt; "," ≥ "),FIXED(AVERAGE('2. Macro'!H33:L33)+2,1))</f>
        <v>11,9 ≥ 4,9</v>
      </c>
      <c r="H7" s="5"/>
      <c r="I7" s="5"/>
      <c r="J7" s="5"/>
    </row>
    <row r="8" spans="1:10" ht="34.5" customHeight="1" thickBot="1" x14ac:dyDescent="0.3">
      <c r="B8" s="426"/>
      <c r="C8" s="146" t="s">
        <v>202</v>
      </c>
      <c r="D8" s="422"/>
      <c r="E8" s="423"/>
      <c r="F8" s="148" t="str">
        <f>IF(F6="Tiesa","True","False")</f>
        <v>False</v>
      </c>
      <c r="G8" s="115" t="str">
        <f>IF(G6="Tiesa","True","False")</f>
        <v>False</v>
      </c>
      <c r="H8" s="5"/>
      <c r="I8" s="5"/>
      <c r="J8" s="5"/>
    </row>
    <row r="9" spans="1:10" ht="30" customHeight="1" thickBot="1" x14ac:dyDescent="0.3">
      <c r="B9" s="427" t="s">
        <v>203</v>
      </c>
      <c r="C9" s="402" t="s">
        <v>204</v>
      </c>
      <c r="D9" s="330" t="s">
        <v>296</v>
      </c>
      <c r="E9" s="330"/>
      <c r="F9" s="62" t="str">
        <f>IF('3. GGbudget'!F8&gt;='3. GGbudget'!E8+1,"Tiesa","Netiesa")</f>
        <v>Netiesa</v>
      </c>
      <c r="G9" s="63" t="str">
        <f>IF('3. GGbudget'!H8&gt;='3. GGbudget'!G8+1,"Tiesa","Netiesa")</f>
        <v>Netiesa</v>
      </c>
    </row>
    <row r="10" spans="1:10" ht="15" customHeight="1" thickBot="1" x14ac:dyDescent="0.3">
      <c r="B10" s="427"/>
      <c r="C10" s="403"/>
      <c r="D10" s="330"/>
      <c r="E10" s="330"/>
      <c r="F10" s="100" t="str">
        <f>CONCATENATE(FIXED('3. GGbudget'!F8-'3. GGbudget'!E8,1),IF(F9="Tiesa"," ≥ "," &lt; "),FIXED(1,1))</f>
        <v>-3,9 &lt; 1,0</v>
      </c>
      <c r="G10" s="122" t="str">
        <f>CONCATENATE(FIXED('3. GGbudget'!H8-'3. GGbudget'!G8,1),IF(G9="Tiesa"," ≥ "," &lt; "),FIXED(1,1))</f>
        <v>-3,9 &lt; 1,0</v>
      </c>
    </row>
    <row r="11" spans="1:10" ht="30" customHeight="1" thickBot="1" x14ac:dyDescent="0.3">
      <c r="B11" s="427"/>
      <c r="C11" s="187" t="s">
        <v>205</v>
      </c>
      <c r="D11" s="330"/>
      <c r="E11" s="330"/>
      <c r="F11" s="135" t="str">
        <f>IF(F9="Tiesa","True","False")</f>
        <v>False</v>
      </c>
      <c r="G11" s="115" t="str">
        <f>IF(G9="Tiesa","True","False")</f>
        <v>False</v>
      </c>
    </row>
    <row r="12" spans="1:10" ht="14.4" thickBot="1" x14ac:dyDescent="0.3">
      <c r="B12" s="427" t="s">
        <v>299</v>
      </c>
      <c r="C12" s="443" t="s">
        <v>312</v>
      </c>
      <c r="D12" s="445" t="s">
        <v>304</v>
      </c>
      <c r="E12" s="446"/>
      <c r="F12" s="280" t="str">
        <f>IF(('3. GGbudget'!F8&gt;='3. GGbudget'!E8+1)*(F53&gt;=F54+0.5),"Tiesa","Netiesa")</f>
        <v>Netiesa</v>
      </c>
      <c r="G12" s="281" t="str">
        <f>IF(('3. GGbudget'!F8&gt;='3. GGbudget'!E8+1)*(F53&gt;=F54+0.5),"Tiesa","Netiesa")</f>
        <v>Netiesa</v>
      </c>
    </row>
    <row r="13" spans="1:10" ht="27" thickBot="1" x14ac:dyDescent="0.3">
      <c r="B13" s="427"/>
      <c r="C13" s="444"/>
      <c r="D13" s="447"/>
      <c r="E13" s="448"/>
      <c r="F13" s="287" t="str">
        <f>CONCATENATE(FIXED('3. GGbudget'!F8-'3. GGbudget'!E8,1),IF(F12="Tiesa"," ≥ "," &lt; "),FIXED(1,1)," &amp;
 ",FIXED(F53,1),IF(F53&gt;=F54+0.5," ≥ "," &lt; "),FIXED(F54,1),"+",FIXED(0.5,1))</f>
        <v>-3,9 &lt; 1,0 &amp;
 6,3 ≥ 2,9+0,5</v>
      </c>
      <c r="G13" s="284" t="str">
        <f>CONCATENATE(FIXED('3. GGbudget'!G8-'3. GGbudget'!F8,1),IF(G12="Tiesa"," ≥ "," &lt; "),FIXED(1,1)," &amp;
 ",FIXED(G53,1),IF(G53&gt;=G54+0.5," ≥ "," &lt; "),FIXED(G54,1),"+",FIXED(0.5,1))</f>
        <v>3,9 &lt; 1,0 &amp;
 6,3 ≥ 2,9+0,5</v>
      </c>
    </row>
    <row r="14" spans="1:10" ht="27" thickBot="1" x14ac:dyDescent="0.3">
      <c r="B14" s="427"/>
      <c r="C14" s="288" t="s">
        <v>309</v>
      </c>
      <c r="D14" s="449"/>
      <c r="E14" s="450"/>
      <c r="F14" s="285" t="str">
        <f>IF(F12="Tiesa","True","False")</f>
        <v>False</v>
      </c>
      <c r="G14" s="286" t="str">
        <f>IF(G12="Tiesa","True","False")</f>
        <v>False</v>
      </c>
    </row>
    <row r="15" spans="1:10" ht="27.75" customHeight="1" thickBot="1" x14ac:dyDescent="0.3">
      <c r="B15" s="427" t="s">
        <v>206</v>
      </c>
      <c r="C15" s="402" t="s">
        <v>207</v>
      </c>
      <c r="D15" s="428"/>
      <c r="E15" s="428"/>
      <c r="F15" s="64" t="str">
        <f>IF(ROUND(AVERAGE('2. Macro'!H37:L37),1)&gt;=0.1,"Tiesa","Netiesa")</f>
        <v>Netiesa</v>
      </c>
      <c r="G15" s="65" t="str">
        <f>IF(ROUND(AVERAGE('2. Macro'!H36:L36),1)&gt;=0.1,"Tiesa","Netiesa")</f>
        <v>Netiesa</v>
      </c>
    </row>
    <row r="16" spans="1:10" ht="15" customHeight="1" thickBot="1" x14ac:dyDescent="0.3">
      <c r="B16" s="427"/>
      <c r="C16" s="403"/>
      <c r="D16" s="428"/>
      <c r="E16" s="428"/>
      <c r="F16" s="131" t="str">
        <f>CONCATENATE(FIXED(AVERAGE('2. Macro'!H37:L37),1),IF(F15="Tiesa"," ≥ "," &lt; "),FIXED(0.1,1))</f>
        <v>-1,4 &lt; 0,1</v>
      </c>
      <c r="G16" s="132" t="str">
        <f>CONCATENATE(FIXED(AVERAGE('2. Macro'!H36:L36),1),IF(G15="Tiesa"," ≥ "," &lt; "),FIXED(0.1,1))</f>
        <v>-1,4 &lt; 0,1</v>
      </c>
    </row>
    <row r="17" spans="2:8" ht="29.4" thickBot="1" x14ac:dyDescent="0.3">
      <c r="B17" s="427"/>
      <c r="C17" s="187" t="s">
        <v>208</v>
      </c>
      <c r="D17" s="428"/>
      <c r="E17" s="428"/>
      <c r="F17" s="149" t="str">
        <f>IF(F15="Tiesa","True","False")</f>
        <v>False</v>
      </c>
      <c r="G17" s="150" t="str">
        <f>IF(G15="Tiesa","True","False")</f>
        <v>False</v>
      </c>
    </row>
    <row r="18" spans="2:8" ht="36.75" customHeight="1" x14ac:dyDescent="0.25">
      <c r="B18" s="424" t="s">
        <v>209</v>
      </c>
      <c r="C18" s="402" t="s">
        <v>210</v>
      </c>
      <c r="D18" s="418" t="s">
        <v>319</v>
      </c>
      <c r="E18" s="419"/>
      <c r="F18" s="62" t="str">
        <f>IF(ROUND(F67,1)&gt;=F66,"Tiesa","Netiesa")</f>
        <v>Netiesa</v>
      </c>
      <c r="G18" s="63" t="str">
        <f>IF(ROUND(G67,1)&gt;=G66,"Tiesa","Netiesa")</f>
        <v>Netiesa</v>
      </c>
      <c r="H18" s="96"/>
    </row>
    <row r="19" spans="2:8" ht="18.75" customHeight="1" x14ac:dyDescent="0.25">
      <c r="B19" s="425"/>
      <c r="C19" s="403"/>
      <c r="D19" s="420"/>
      <c r="E19" s="421"/>
      <c r="F19" s="131" t="str">
        <f>CONCATENATE(FIXED(F67,1),IF(F15="Tiesa"," ≥ "," &lt; "),FIXED(F66,1))</f>
        <v>-4,9 &lt; -3,3</v>
      </c>
      <c r="G19" s="122" t="str">
        <f>CONCATENATE(FIXED(G67,1),IF(G15="Tiesa"," ≥ "," &lt; "),FIXED(G66,1))</f>
        <v>-4,9 &lt; -3,3</v>
      </c>
    </row>
    <row r="20" spans="2:8" ht="43.8" thickBot="1" x14ac:dyDescent="0.3">
      <c r="B20" s="426"/>
      <c r="C20" s="146" t="s">
        <v>211</v>
      </c>
      <c r="D20" s="422"/>
      <c r="E20" s="423"/>
      <c r="F20" s="135" t="str">
        <f>IF(F18="Tiesa","True","False")</f>
        <v>False</v>
      </c>
      <c r="G20" s="115" t="str">
        <f>IF(G18="Tiesa","True","False")</f>
        <v>False</v>
      </c>
    </row>
    <row r="21" spans="2:8" ht="44.25" customHeight="1" x14ac:dyDescent="0.25">
      <c r="B21" s="424" t="s">
        <v>212</v>
      </c>
      <c r="C21" s="402" t="s">
        <v>213</v>
      </c>
      <c r="D21" s="418" t="s">
        <v>214</v>
      </c>
      <c r="E21" s="419"/>
      <c r="F21" s="62" t="str">
        <f>IF(F60+eps&lt;0,"Tiesa","Netiesa")</f>
        <v>Tiesa</v>
      </c>
      <c r="G21" s="63" t="str">
        <f>IF(G60+eps&lt;0,"Tiesa","Netiesa")</f>
        <v>Netiesa</v>
      </c>
    </row>
    <row r="22" spans="2:8" ht="20.25" customHeight="1" x14ac:dyDescent="0.25">
      <c r="B22" s="425"/>
      <c r="C22" s="403"/>
      <c r="D22" s="420"/>
      <c r="E22" s="421"/>
      <c r="F22" s="131" t="str">
        <f>CONCATENATE(FIXED(F60,1),IF(F21="Tiesa"," &lt; "," ≥ "),FIXED(0,1))</f>
        <v>-0,7 &lt; 0,0</v>
      </c>
      <c r="G22" s="122" t="str">
        <f>CONCATENATE(FIXED(G60,1),IF(G21="Tiesa"," &lt; "," ≥ "),FIXED(0,1))</f>
        <v>0,7 ≥ 0,0</v>
      </c>
    </row>
    <row r="23" spans="2:8" ht="43.8" thickBot="1" x14ac:dyDescent="0.3">
      <c r="B23" s="426"/>
      <c r="C23" s="146" t="s">
        <v>215</v>
      </c>
      <c r="D23" s="422"/>
      <c r="E23" s="423"/>
      <c r="F23" s="135" t="str">
        <f>IF(F21="Tiesa","True","False")</f>
        <v>True</v>
      </c>
      <c r="G23" s="115" t="str">
        <f>IF(G21="Tiesa","True","False")</f>
        <v>False</v>
      </c>
    </row>
    <row r="24" spans="2:8" ht="26.4" x14ac:dyDescent="0.25">
      <c r="B24" s="424" t="s">
        <v>300</v>
      </c>
      <c r="C24" s="279" t="s">
        <v>301</v>
      </c>
      <c r="D24" s="445" t="s">
        <v>302</v>
      </c>
      <c r="E24" s="446"/>
      <c r="F24" s="280" t="str">
        <f>IF((F60+eps&lt;0)*($F$61&lt;=3),"Tiesa","Netiesa")</f>
        <v>Netiesa</v>
      </c>
      <c r="G24" s="281" t="str">
        <f>IF((G60+eps&lt;0)*($F$61&lt;=3),"Tiesa","Netiesa")</f>
        <v>Netiesa</v>
      </c>
    </row>
    <row r="25" spans="2:8" ht="26.4" x14ac:dyDescent="0.25">
      <c r="B25" s="425"/>
      <c r="C25" s="282"/>
      <c r="D25" s="447"/>
      <c r="E25" s="448"/>
      <c r="F25" s="283" t="str">
        <f>CONCATENATE(ROUND(F60,1),IF(F60&lt;0," &lt; "," ≥ "),FIXED(0,1), " &amp;
", FIXED($F$61,1),IF($F$61&gt;3," &gt; "," ≤ "), FIXED(3,1))</f>
        <v>-0,7 &lt; 0,0 &amp;
9,8 &gt; 3,0</v>
      </c>
      <c r="G25" s="284" t="str">
        <f>CONCATENATE(ROUND(G60,1),IF(G60&lt;0," &lt; "," ≥ "),FIXED(0,1), " &amp;
", FIXED($F$61,1),IF($F$61&gt;3," &gt; "," ≤ "), FIXED(3,1))</f>
        <v>0,7 ≥ 0,0 &amp;
9,8 &gt; 3,0</v>
      </c>
      <c r="H25" s="26"/>
    </row>
    <row r="26" spans="2:8" ht="14.4" thickBot="1" x14ac:dyDescent="0.3">
      <c r="B26" s="426"/>
      <c r="C26" s="282" t="s">
        <v>308</v>
      </c>
      <c r="D26" s="449"/>
      <c r="E26" s="450"/>
      <c r="F26" s="285" t="str">
        <f>IF(F24="Tiesa","True","False")</f>
        <v>False</v>
      </c>
      <c r="G26" s="286" t="str">
        <f>IF(G24="Tiesa","True","False")</f>
        <v>False</v>
      </c>
    </row>
    <row r="27" spans="2:8" ht="21.75" customHeight="1" x14ac:dyDescent="0.25">
      <c r="B27" s="379" t="s">
        <v>216</v>
      </c>
      <c r="C27" s="366" t="s">
        <v>217</v>
      </c>
      <c r="D27" s="404"/>
      <c r="E27" s="405"/>
      <c r="F27" s="50" t="str">
        <f>+IF((OR(F6="Tiesa",F9="Tiesa",F15="Tiesa",F21="Tiesa")),"Taip","Ne")</f>
        <v>Taip</v>
      </c>
      <c r="G27" s="51" t="str">
        <f>+IF((OR(G6="Tiesa",G9="Tiesa",G15="Tiesa",G21="Tiesa")),"Taip","Ne")</f>
        <v>Ne</v>
      </c>
      <c r="H27" s="66"/>
    </row>
    <row r="28" spans="2:8" ht="39" customHeight="1" x14ac:dyDescent="0.25">
      <c r="B28" s="380"/>
      <c r="C28" s="367"/>
      <c r="D28" s="406"/>
      <c r="E28" s="407"/>
      <c r="F28" s="139" t="str">
        <f>IF(F27="Taip",CONCATENATE("Susidaro ", IF(F73=1,CONCATENATE(H73," "),""),IF(F74=1,CONCATENATE(H74," "),""),IF(F75=1,CONCATENATE(H75," "),""),IF(F76=1,CONCATENATE(H76," "),""),IF(F77=1,CONCATENATE(H77," "),""),IF(F78=1,"aplinkybė","aplinkybės")),"Išimčių nėra")</f>
        <v>Susidaro A5 aplinkybė</v>
      </c>
      <c r="G28" s="101" t="str">
        <f>IF(G27="Taip",CONCATENATE("Susidaro ", IF(G73=1,CONCATENATE(I73," "),""),IF(G74=1,CONCATENATE(I74," "),""),IF(G75=1,CONCATENATE(I75," "),""),IF(G76=1,CONCATENATE(I76," "),""),IF(G77=1,CONCATENATE(I77," "),""),IF(G78=1,"aplinkybė","aplinkybės")),"Išimčių nėra")</f>
        <v>Išimčių nėra</v>
      </c>
    </row>
    <row r="29" spans="2:8" ht="18" customHeight="1" x14ac:dyDescent="0.25">
      <c r="B29" s="380"/>
      <c r="C29" s="396" t="s">
        <v>218</v>
      </c>
      <c r="D29" s="406"/>
      <c r="E29" s="407"/>
      <c r="F29" s="160" t="str">
        <f>IF(F27="Taip","Yes","No")</f>
        <v>Yes</v>
      </c>
      <c r="G29" s="161" t="str">
        <f>IF(G27="Taip","Yes","No")</f>
        <v>No</v>
      </c>
    </row>
    <row r="30" spans="2:8" ht="55.5" customHeight="1" thickBot="1" x14ac:dyDescent="0.3">
      <c r="B30" s="381"/>
      <c r="C30" s="410"/>
      <c r="D30" s="408"/>
      <c r="E30" s="409"/>
      <c r="F30" s="123" t="str">
        <f>IF(F29="Yes",CONCATENATE(IF(F78=1,"Escape clause ","Escape clauses "), IF(F73=1,CONCATENATE(H73," "),""),IF(F74=1,CONCATENATE(H74," "),""),IF(F75=1,CONCATENATE(H75," "),""),IF(F76=1,CONCATENATE(H76," "),""),IF(F77=1,CONCATENATE(H77," "),""),"emerge"),"No escape clauses emerge")</f>
        <v>Escape clause A5 emerge</v>
      </c>
      <c r="G30" s="102" t="str">
        <f>IF(G29="Yes",CONCATENATE(IF(G78=1,"Escape clause ","Escape clauses "), IF(G73=1,CONCATENATE(I73," "),""),IF(G74=1,CONCATENATE(I74," "),""),IF(G75=1,CONCATENATE(I75," "),""),IF(G76=1,CONCATENATE(I76," "),""),IF(G77=1,CONCATENATE(I77," "),""),"emerge"),"No escape clauses emerge")</f>
        <v>No escape clauses emerge</v>
      </c>
    </row>
    <row r="31" spans="2:8" ht="33.75" customHeight="1" thickBot="1" x14ac:dyDescent="0.35">
      <c r="B31" s="127" t="s">
        <v>198</v>
      </c>
      <c r="C31" s="218" t="s">
        <v>219</v>
      </c>
      <c r="D31" s="400" t="s">
        <v>220</v>
      </c>
      <c r="E31" s="401"/>
      <c r="F31" s="398" t="s">
        <v>158</v>
      </c>
      <c r="G31" s="399"/>
      <c r="H31" s="69"/>
    </row>
    <row r="32" spans="2:8" ht="17.399999999999999" customHeight="1" x14ac:dyDescent="0.25">
      <c r="B32" s="379" t="s">
        <v>221</v>
      </c>
      <c r="C32" s="402" t="s">
        <v>313</v>
      </c>
      <c r="D32" s="179"/>
      <c r="E32" s="180"/>
      <c r="F32" s="67" t="str">
        <f>IF((F27="Taip"),"",IF(AVERAGE('2. Macro'!H36:L36)+eps&lt;0,"Tiesa","Netiesa"))</f>
        <v/>
      </c>
      <c r="G32" s="68" t="str">
        <f>IF((G27="Taip"),"",IF(AVERAGE('2. Macro'!H36:L36)+eps&lt;0,"Tiesa","Netiesa"))</f>
        <v>Tiesa</v>
      </c>
    </row>
    <row r="33" spans="2:7" ht="15.75" customHeight="1" x14ac:dyDescent="0.25">
      <c r="B33" s="380"/>
      <c r="C33" s="403"/>
      <c r="D33" s="181" t="s">
        <v>222</v>
      </c>
      <c r="E33" s="182"/>
      <c r="F33" s="152" t="str">
        <f>IF((F27="Taip"),"",CONCATENATE(FIXED(AVERAGE('2. Macro'!H36:L36),1),IF(F32="Tiesa"," &lt; "," ≥ "),FIXED(0,1)))</f>
        <v/>
      </c>
      <c r="G33" s="158" t="str">
        <f>IF((G27="Taip"),"",CONCATENATE(FIXED(AVERAGE('2. Macro'!H36:L36),1),IF(G32="Tiesa"," &lt; "," ≥ "),FIXED(0,1)))</f>
        <v>-1,4 &lt; 0,0</v>
      </c>
    </row>
    <row r="34" spans="2:7" ht="18" customHeight="1" thickBot="1" x14ac:dyDescent="0.3">
      <c r="B34" s="380"/>
      <c r="C34" s="403"/>
      <c r="D34" s="183"/>
      <c r="E34" s="184"/>
      <c r="F34" s="178" t="str">
        <f>IF(F29="Yes","",IF(F32="Tiesa","True","False"))</f>
        <v/>
      </c>
      <c r="G34" s="126" t="str">
        <f>IF(G29="Yes","",IF(G32="Tiesa","True","False"))</f>
        <v>True</v>
      </c>
    </row>
    <row r="35" spans="2:7" ht="24" customHeight="1" x14ac:dyDescent="0.25">
      <c r="B35" s="380"/>
      <c r="C35" s="403"/>
      <c r="D35" s="185"/>
      <c r="E35" s="182"/>
      <c r="F35" s="198" t="str">
        <f>IF(OR(F27="Taip",F32="Netiesa"),"Netaikoma", IF(F47-$F$49&lt;=(F48-$F$50)*(1+0.5*F65),"Tiesa","Netiesa"))</f>
        <v>Netaikoma</v>
      </c>
      <c r="G35" s="158" t="str">
        <f>IF(OR(G27="Taip",G32="Netiesa", '4. SurplusGG'!E6="Taip"),"Netaikoma", IF(G47-$F$49&lt;=(G48-$F$50)*(1+0.5*G65),"Tiesa","Netiesa"))</f>
        <v>Netaikoma</v>
      </c>
    </row>
    <row r="36" spans="2:7" ht="69" customHeight="1" x14ac:dyDescent="0.25">
      <c r="B36" s="380"/>
      <c r="C36" s="403"/>
      <c r="D36" s="185"/>
      <c r="E36" s="182"/>
      <c r="F36" s="152" t="str">
        <f>IF(F27="Taip",IF(F78=1,"Susidarė viena iš KĮ numatytų netaikymo aplinkybių","Susidarė KĮ numatytos netaikymo aplinkybės"),CONCATENATE(ROUND(($F$47-F49)/($F$48-F50),3),IF(F35="Tiesa"," ≤ "," &gt; "), ROUND(1+0.5*F65,3)))</f>
        <v>Susidarė viena iš KĮ numatytų netaikymo aplinkybių</v>
      </c>
      <c r="G36" s="197" t="str">
        <f>IF(G27="Taip", IF(G78=1,"Susidarė viena iš KĮ numatytų netaikymo aplinkybių","Susidarė KĮ numatytos netaikymo aplinkybės"),IF('4. SurplusGG'!E6="Taip","Paskelbtos išskirtinės aplinkybės",CONCATENATE(ROUND(($G$47-F49)/($G$48-F50),3),IF(G35="Tiesa"," ≤ "," &gt; "), ROUND(1+0.5*G65,3))))</f>
        <v>Paskelbtos išskirtinės aplinkybės</v>
      </c>
    </row>
    <row r="37" spans="2:7" ht="21" customHeight="1" x14ac:dyDescent="0.25">
      <c r="B37" s="380"/>
      <c r="C37" s="411" t="s">
        <v>314</v>
      </c>
      <c r="D37" s="185"/>
      <c r="E37" s="182"/>
      <c r="F37" s="154" t="str">
        <f>IF(F35="Netaikoma","Not applied",IF(F35="Tiesa","True","False"))</f>
        <v>Not applied</v>
      </c>
      <c r="G37" s="177" t="str">
        <f>IF(G35="Netaikoma","Not applied",IF(G35="Tiesa","True","False"))</f>
        <v>Not applied</v>
      </c>
    </row>
    <row r="38" spans="2:7" ht="67.5" customHeight="1" thickBot="1" x14ac:dyDescent="0.3">
      <c r="B38" s="381"/>
      <c r="C38" s="412"/>
      <c r="D38" s="183"/>
      <c r="E38" s="184"/>
      <c r="F38" s="186" t="str">
        <f>IF(F29="Yes",IF(F78=1,"CL escape clause emerged","CL escape clauses emerged"),"")</f>
        <v>CL escape clause emerged</v>
      </c>
      <c r="G38" s="269" t="str">
        <f>IF(G29="Yes",IF(G78=1,"CL escape clause emerged","CL escape clauses emerged"),IF('4. SurplusGG'!E6="Taip","Exceptional circumstances",""))</f>
        <v>Exceptional circumstances</v>
      </c>
    </row>
    <row r="39" spans="2:7" ht="39.6" x14ac:dyDescent="0.25">
      <c r="B39" s="379" t="s">
        <v>306</v>
      </c>
      <c r="C39" s="441" t="s">
        <v>305</v>
      </c>
      <c r="D39" s="270"/>
      <c r="E39" s="271"/>
      <c r="F39" s="272" t="str">
        <f>+IF((OR(F6="Tiesa",F12="Tiesa",F15="Tiesa",F18="Tiesa",F24="Tiesa")),"Taip","FDĮ netaikymo aplinkybės nesusidaro")</f>
        <v>FDĮ netaikymo aplinkybės nesusidaro</v>
      </c>
      <c r="G39" s="273" t="str">
        <f>+IF((OR(G6="Tiesa",G12="Tiesa",G15="Tiesa",G18="Tiesa",G24="Tiesa")),"Taip","FDĮ netaikymo aplinkybės nesusidaro")</f>
        <v>FDĮ netaikymo aplinkybės nesusidaro</v>
      </c>
    </row>
    <row r="40" spans="2:7" ht="39.6" x14ac:dyDescent="0.25">
      <c r="B40" s="380"/>
      <c r="C40" s="442"/>
      <c r="D40" s="270"/>
      <c r="E40" s="271"/>
      <c r="F40" s="272" t="str">
        <f>G36</f>
        <v>Paskelbtos išskirtinės aplinkybės</v>
      </c>
      <c r="G40" s="273" t="str">
        <f>G36</f>
        <v>Paskelbtos išskirtinės aplinkybės</v>
      </c>
    </row>
    <row r="41" spans="2:7" ht="26.4" x14ac:dyDescent="0.25">
      <c r="B41" s="380"/>
      <c r="C41" s="274" t="s">
        <v>307</v>
      </c>
      <c r="D41" s="270"/>
      <c r="E41" s="271"/>
      <c r="F41" s="275" t="str">
        <f>IF(F39="FDĮ netaikymo aplinkybės nesusidaro", "No FDL escape clauses emerge","FDL escape clause emerged")</f>
        <v>No FDL escape clauses emerge</v>
      </c>
      <c r="G41" s="276" t="str">
        <f>IF(G39="FDĮ netaikymo aplinkybės nesusidaro", "No FDL escape clauses emerge","FDL escape clause emerged")</f>
        <v>No FDL escape clauses emerge</v>
      </c>
    </row>
    <row r="42" spans="2:7" ht="31.5" customHeight="1" thickBot="1" x14ac:dyDescent="0.3">
      <c r="B42" s="392"/>
      <c r="C42" s="274"/>
      <c r="D42" s="270"/>
      <c r="E42" s="271"/>
      <c r="F42" s="277" t="str">
        <f>G38</f>
        <v>Exceptional circumstances</v>
      </c>
      <c r="G42" s="278" t="str">
        <f>G38</f>
        <v>Exceptional circumstances</v>
      </c>
    </row>
    <row r="43" spans="2:7" ht="28.5" customHeight="1" thickTop="1" x14ac:dyDescent="0.25">
      <c r="C43" s="413" t="s">
        <v>223</v>
      </c>
      <c r="D43" s="413"/>
      <c r="E43" s="413"/>
      <c r="F43" s="113"/>
      <c r="G43" s="113"/>
    </row>
    <row r="44" spans="2:7" ht="28.5" customHeight="1" x14ac:dyDescent="0.25">
      <c r="C44" s="378" t="s">
        <v>287</v>
      </c>
      <c r="D44" s="378"/>
      <c r="E44" s="378"/>
      <c r="F44" s="224"/>
      <c r="G44" s="224"/>
    </row>
    <row r="45" spans="2:7" ht="18.75" customHeight="1" thickBot="1" x14ac:dyDescent="0.3">
      <c r="C45" s="53" t="s">
        <v>311</v>
      </c>
      <c r="D45" s="225"/>
      <c r="E45" s="225"/>
      <c r="F45" s="224"/>
      <c r="G45" s="224"/>
    </row>
    <row r="46" spans="2:7" ht="14.4" thickBot="1" x14ac:dyDescent="0.3">
      <c r="C46" s="106" t="s">
        <v>310</v>
      </c>
      <c r="D46" s="114"/>
      <c r="E46" s="96"/>
      <c r="F46" s="431">
        <v>2022</v>
      </c>
      <c r="G46" s="432"/>
    </row>
    <row r="47" spans="2:7" ht="14.4" thickBot="1" x14ac:dyDescent="0.3">
      <c r="C47" s="106"/>
      <c r="D47" s="112"/>
      <c r="E47" s="54" t="s">
        <v>224</v>
      </c>
      <c r="F47" s="70">
        <f>'3. GGbudget'!F21</f>
        <v>22533.675999999999</v>
      </c>
      <c r="G47" s="71">
        <f>'3. GGbudget'!H21</f>
        <v>22818.489663468099</v>
      </c>
    </row>
    <row r="48" spans="2:7" ht="15" customHeight="1" thickBot="1" x14ac:dyDescent="0.3">
      <c r="C48" s="112"/>
      <c r="D48" s="112"/>
      <c r="E48" s="54" t="s">
        <v>225</v>
      </c>
      <c r="F48" s="70">
        <f>'3. GGbudget'!E21</f>
        <v>19049.885746040003</v>
      </c>
      <c r="G48" s="71">
        <f>'3. GGbudget'!G21</f>
        <v>19049.885746040003</v>
      </c>
    </row>
    <row r="49" spans="3:15" ht="14.4" thickBot="1" x14ac:dyDescent="0.3">
      <c r="C49" s="112"/>
      <c r="D49" s="112"/>
      <c r="E49" s="54" t="s">
        <v>226</v>
      </c>
      <c r="F49" s="437">
        <f>3326.195</f>
        <v>3326.1950000000002</v>
      </c>
      <c r="G49" s="438"/>
      <c r="H49" s="109"/>
    </row>
    <row r="50" spans="3:15" ht="15" thickBot="1" x14ac:dyDescent="0.35">
      <c r="C50" s="112"/>
      <c r="D50" s="112"/>
      <c r="E50" s="54" t="s">
        <v>227</v>
      </c>
      <c r="F50" s="437">
        <f>1924.178</f>
        <v>1924.1780000000001</v>
      </c>
      <c r="G50" s="438"/>
      <c r="H50" s="264"/>
    </row>
    <row r="51" spans="3:15" ht="14.4" thickBot="1" x14ac:dyDescent="0.3">
      <c r="C51" s="53"/>
      <c r="D51" s="55"/>
      <c r="E51" s="54" t="s">
        <v>228</v>
      </c>
      <c r="F51" s="70">
        <f>'3. GGbudget'!F15</f>
        <v>25474.569401177625</v>
      </c>
      <c r="G51" s="71">
        <f>'3. GGbudget'!H15</f>
        <v>25242.482042854594</v>
      </c>
      <c r="H51" s="24"/>
      <c r="I51" s="24"/>
      <c r="O51" s="24"/>
    </row>
    <row r="52" spans="3:15" ht="14.4" thickBot="1" x14ac:dyDescent="0.3">
      <c r="C52" s="53"/>
      <c r="D52" s="55"/>
      <c r="E52" s="54" t="s">
        <v>229</v>
      </c>
      <c r="F52" s="70">
        <f>'3. GGbudget'!E15</f>
        <v>21436.438999999998</v>
      </c>
      <c r="G52" s="71">
        <f>'3. GGbudget'!G15</f>
        <v>21436.438999999998</v>
      </c>
      <c r="H52" s="24"/>
      <c r="I52" s="24"/>
      <c r="O52" s="24"/>
    </row>
    <row r="53" spans="3:15" ht="14.4" thickBot="1" x14ac:dyDescent="0.3">
      <c r="C53" s="53"/>
      <c r="D53" s="55"/>
      <c r="E53" s="54" t="s">
        <v>230</v>
      </c>
      <c r="F53" s="217">
        <f>'2. Macro'!L37-'2. Macro'!K37</f>
        <v>6.279134215775076</v>
      </c>
      <c r="G53" s="73">
        <f>'2. Macro'!L36-'2. Macro'!K36</f>
        <v>6.2801786153764088</v>
      </c>
    </row>
    <row r="54" spans="3:15" ht="14.4" thickBot="1" x14ac:dyDescent="0.3">
      <c r="C54" s="72"/>
      <c r="D54" s="55"/>
      <c r="E54" s="54" t="s">
        <v>231</v>
      </c>
      <c r="F54" s="217">
        <f>-4.4-'2. Macro'!K37</f>
        <v>2.8815637427290159</v>
      </c>
      <c r="G54" s="73">
        <f>F54</f>
        <v>2.8815637427290159</v>
      </c>
    </row>
    <row r="55" spans="3:15" ht="14.4" thickBot="1" x14ac:dyDescent="0.3">
      <c r="C55" s="74" t="s">
        <v>292</v>
      </c>
      <c r="D55" s="55"/>
      <c r="E55" s="74" t="s">
        <v>232</v>
      </c>
      <c r="F55" s="433">
        <v>1.0711243673728601</v>
      </c>
      <c r="G55" s="434"/>
    </row>
    <row r="56" spans="3:15" ht="14.4" thickBot="1" x14ac:dyDescent="0.3">
      <c r="C56" s="74" t="s">
        <v>293</v>
      </c>
      <c r="D56" s="55"/>
      <c r="E56" s="74" t="s">
        <v>233</v>
      </c>
      <c r="F56" s="433">
        <v>1.0397424052602335</v>
      </c>
      <c r="G56" s="434"/>
    </row>
    <row r="57" spans="3:15" ht="14.4" thickBot="1" x14ac:dyDescent="0.3">
      <c r="C57" s="74" t="s">
        <v>288</v>
      </c>
      <c r="D57" s="55"/>
      <c r="E57" s="74" t="s">
        <v>234</v>
      </c>
      <c r="F57" s="435">
        <v>1.0210404957486663</v>
      </c>
      <c r="G57" s="436"/>
    </row>
    <row r="58" spans="3:15" ht="14.4" thickBot="1" x14ac:dyDescent="0.3">
      <c r="C58" s="74" t="s">
        <v>294</v>
      </c>
      <c r="D58" s="55"/>
      <c r="E58" s="74" t="s">
        <v>235</v>
      </c>
      <c r="F58" s="435">
        <v>1.0244543123397334</v>
      </c>
      <c r="G58" s="436"/>
    </row>
    <row r="59" spans="3:15" ht="15" customHeight="1" thickBot="1" x14ac:dyDescent="0.3">
      <c r="C59" s="75" t="s">
        <v>289</v>
      </c>
      <c r="D59" s="55"/>
      <c r="E59" s="74" t="s">
        <v>236</v>
      </c>
      <c r="F59" s="217">
        <v>11.869004647818199</v>
      </c>
      <c r="G59" s="73">
        <v>11.869004647818199</v>
      </c>
    </row>
    <row r="60" spans="3:15" ht="15" customHeight="1" thickBot="1" x14ac:dyDescent="0.3">
      <c r="D60" s="55"/>
      <c r="E60" s="54" t="s">
        <v>237</v>
      </c>
      <c r="F60" s="217">
        <f>'2. Macro'!M20</f>
        <v>-0.74900229283476616</v>
      </c>
      <c r="G60" s="73">
        <f>'2. Macro'!M19</f>
        <v>0.65452103691594488</v>
      </c>
    </row>
    <row r="61" spans="3:15" ht="15" customHeight="1" thickBot="1" x14ac:dyDescent="0.3">
      <c r="D61" s="55"/>
      <c r="E61" s="54" t="s">
        <v>303</v>
      </c>
      <c r="F61" s="439">
        <f>'2. Macro'!M31</f>
        <v>9.8000000000000007</v>
      </c>
      <c r="G61" s="440"/>
    </row>
    <row r="62" spans="3:15" ht="15" customHeight="1" thickBot="1" x14ac:dyDescent="0.3">
      <c r="D62" s="54"/>
      <c r="E62" s="54" t="s">
        <v>238</v>
      </c>
      <c r="F62" s="76">
        <f>+F47-$F$49</f>
        <v>19207.481</v>
      </c>
      <c r="G62" s="76">
        <f>+G47-$F$49</f>
        <v>19492.294663468099</v>
      </c>
    </row>
    <row r="63" spans="3:15" ht="15" customHeight="1" thickBot="1" x14ac:dyDescent="0.3">
      <c r="D63" s="54"/>
      <c r="E63" s="54" t="s">
        <v>239</v>
      </c>
      <c r="F63" s="289">
        <f>+F48-$F$50</f>
        <v>17125.707746040003</v>
      </c>
      <c r="G63" s="77">
        <f>+G48-$F$50</f>
        <v>17125.707746040003</v>
      </c>
    </row>
    <row r="64" spans="3:15" ht="15" customHeight="1" thickBot="1" x14ac:dyDescent="0.3">
      <c r="D64" s="54"/>
      <c r="E64" s="54" t="s">
        <v>240</v>
      </c>
      <c r="F64" s="76">
        <f>+(F62/F63-1)*100</f>
        <v>12.155837789777578</v>
      </c>
      <c r="G64" s="78">
        <f>+(G62/G63-1)*100</f>
        <v>13.818914537855086</v>
      </c>
    </row>
    <row r="65" spans="2:9" s="12" customFormat="1" ht="16.8" thickBot="1" x14ac:dyDescent="0.4">
      <c r="B65" s="108"/>
      <c r="C65" s="1"/>
      <c r="D65" s="54"/>
      <c r="E65" s="54" t="s">
        <v>241</v>
      </c>
      <c r="F65" s="265">
        <f>(POWER('2. Macro'!O16/'2. Macro'!E16,0.1)*POWER(PRODUCT(F55:F58),0.25)-1)</f>
        <v>7.0315243127332172E-2</v>
      </c>
      <c r="G65" s="266">
        <f>(POWER('2. Macro'!O15/'2. Macro'!E15,0.1)*POWER(PRODUCT(F55:F58),0.25)-1)</f>
        <v>6.9376870948984815E-2</v>
      </c>
    </row>
    <row r="66" spans="2:9" s="12" customFormat="1" ht="14.4" thickBot="1" x14ac:dyDescent="0.3">
      <c r="B66" s="108"/>
      <c r="C66" s="1"/>
      <c r="D66" s="54"/>
      <c r="E66" s="54" t="s">
        <v>320</v>
      </c>
      <c r="F66" s="130">
        <f>-3.3</f>
        <v>-3.3</v>
      </c>
      <c r="G66" s="76">
        <f>F66</f>
        <v>-3.3</v>
      </c>
    </row>
    <row r="67" spans="2:9" s="12" customFormat="1" ht="14.4" thickBot="1" x14ac:dyDescent="0.3">
      <c r="B67" s="108"/>
      <c r="C67" s="1"/>
      <c r="D67" s="54"/>
      <c r="E67" s="54" t="s">
        <v>295</v>
      </c>
      <c r="F67" s="130">
        <f>'3. GGbudget'!F8</f>
        <v>-4.9493912149962176</v>
      </c>
      <c r="G67" s="76">
        <f>'3. GGbudget'!H8</f>
        <v>-4.8602950491736268</v>
      </c>
    </row>
    <row r="68" spans="2:9" s="12" customFormat="1" x14ac:dyDescent="0.25">
      <c r="B68" s="108"/>
      <c r="C68" s="1"/>
      <c r="D68" s="54"/>
      <c r="E68" s="54"/>
      <c r="F68" s="82"/>
      <c r="G68" s="82"/>
    </row>
    <row r="69" spans="2:9" s="12" customFormat="1" ht="15" thickBot="1" x14ac:dyDescent="0.35">
      <c r="B69" s="108"/>
      <c r="C69" s="1"/>
      <c r="D69" s="10"/>
      <c r="E69" s="10" t="s">
        <v>50</v>
      </c>
      <c r="F69" s="10"/>
      <c r="G69" s="5"/>
      <c r="H69" s="207" t="s">
        <v>51</v>
      </c>
    </row>
    <row r="70" spans="2:9" s="12" customFormat="1" ht="15" thickBot="1" x14ac:dyDescent="0.35">
      <c r="B70" s="108"/>
      <c r="C70" s="1"/>
      <c r="D70" s="10"/>
      <c r="E70" s="10" t="s">
        <v>52</v>
      </c>
      <c r="F70" s="314" t="s">
        <v>23</v>
      </c>
      <c r="G70" s="315"/>
      <c r="H70" s="207" t="s">
        <v>53</v>
      </c>
    </row>
    <row r="71" spans="2:9" s="12" customFormat="1" ht="15" thickBot="1" x14ac:dyDescent="0.35">
      <c r="B71" s="108"/>
      <c r="C71" s="1"/>
      <c r="D71" s="10"/>
      <c r="E71" s="10" t="s">
        <v>54</v>
      </c>
      <c r="F71" s="316" t="s">
        <v>24</v>
      </c>
      <c r="G71" s="317"/>
      <c r="H71" s="233" t="s">
        <v>55</v>
      </c>
    </row>
    <row r="72" spans="2:9" s="12" customFormat="1" ht="15" thickBot="1" x14ac:dyDescent="0.35">
      <c r="B72" s="108"/>
      <c r="C72" s="1"/>
      <c r="D72" s="10"/>
      <c r="E72" s="10" t="s">
        <v>242</v>
      </c>
      <c r="F72" s="429" t="s">
        <v>243</v>
      </c>
      <c r="G72" s="430"/>
      <c r="H72" s="207" t="s">
        <v>244</v>
      </c>
    </row>
    <row r="73" spans="2:9" s="12" customFormat="1" x14ac:dyDescent="0.25">
      <c r="B73" s="61"/>
      <c r="D73" s="226" t="s">
        <v>245</v>
      </c>
      <c r="E73" s="226"/>
      <c r="F73" s="227">
        <f>IF(F6="Tiesa",1,0)</f>
        <v>0</v>
      </c>
      <c r="G73" s="227">
        <f>IF(G6="Tiesa",1,0)</f>
        <v>0</v>
      </c>
      <c r="H73" s="226" t="str">
        <f t="shared" ref="H73:I77" si="0">IF(F73=1,$D73,"")</f>
        <v/>
      </c>
      <c r="I73" s="226" t="str">
        <f t="shared" si="0"/>
        <v/>
      </c>
    </row>
    <row r="74" spans="2:9" x14ac:dyDescent="0.25">
      <c r="B74" s="61"/>
      <c r="C74" s="12"/>
      <c r="D74" s="226" t="s">
        <v>246</v>
      </c>
      <c r="E74" s="226"/>
      <c r="F74" s="227">
        <f>IF(F9="Tiesa",1,0)</f>
        <v>0</v>
      </c>
      <c r="G74" s="227">
        <f>IF(G9="Tiesa",1,0)</f>
        <v>0</v>
      </c>
      <c r="H74" s="226" t="str">
        <f t="shared" si="0"/>
        <v/>
      </c>
      <c r="I74" s="226" t="str">
        <f t="shared" si="0"/>
        <v/>
      </c>
    </row>
    <row r="75" spans="2:9" x14ac:dyDescent="0.25">
      <c r="C75" s="23"/>
      <c r="D75" s="226" t="s">
        <v>247</v>
      </c>
      <c r="E75" s="226"/>
      <c r="F75" s="227">
        <f>IF(F15="Tiesa",1,0)</f>
        <v>0</v>
      </c>
      <c r="G75" s="227">
        <f>IF(G15="Tiesa",1,0)</f>
        <v>0</v>
      </c>
      <c r="H75" s="226" t="str">
        <f t="shared" si="0"/>
        <v/>
      </c>
      <c r="I75" s="226" t="str">
        <f t="shared" si="0"/>
        <v/>
      </c>
    </row>
    <row r="76" spans="2:9" x14ac:dyDescent="0.25">
      <c r="D76" s="226" t="s">
        <v>248</v>
      </c>
      <c r="E76" s="226"/>
      <c r="F76" s="227">
        <f>IF(F18="Tiesa",1,0)</f>
        <v>0</v>
      </c>
      <c r="G76" s="227">
        <f>IF(G18="Tiesa",1,0)</f>
        <v>0</v>
      </c>
      <c r="H76" s="226" t="str">
        <f t="shared" si="0"/>
        <v/>
      </c>
      <c r="I76" s="226" t="str">
        <f t="shared" si="0"/>
        <v/>
      </c>
    </row>
    <row r="77" spans="2:9" x14ac:dyDescent="0.25">
      <c r="D77" s="226" t="s">
        <v>249</v>
      </c>
      <c r="E77" s="226"/>
      <c r="F77" s="227">
        <f>IF(F21="Tiesa",1,0)</f>
        <v>1</v>
      </c>
      <c r="G77" s="227">
        <f>IF(G21="Tiesa",1,0)</f>
        <v>0</v>
      </c>
      <c r="H77" s="226" t="str">
        <f t="shared" si="0"/>
        <v>A5</v>
      </c>
      <c r="I77" s="226" t="str">
        <f t="shared" si="0"/>
        <v/>
      </c>
    </row>
    <row r="78" spans="2:9" x14ac:dyDescent="0.25">
      <c r="D78" s="176"/>
      <c r="E78" s="176"/>
      <c r="F78" s="227">
        <f>SUM(F73:F77)</f>
        <v>1</v>
      </c>
      <c r="G78" s="227">
        <f>SUM(G73:G77)</f>
        <v>0</v>
      </c>
      <c r="H78" s="176"/>
      <c r="I78" s="176"/>
    </row>
    <row r="79" spans="2:9" x14ac:dyDescent="0.25">
      <c r="D79" s="176"/>
      <c r="E79" s="176"/>
      <c r="F79" s="176"/>
      <c r="G79" s="176"/>
      <c r="H79" s="176"/>
      <c r="I79" s="176"/>
    </row>
  </sheetData>
  <mergeCells count="49">
    <mergeCell ref="B39:B42"/>
    <mergeCell ref="C39:C40"/>
    <mergeCell ref="B12:B14"/>
    <mergeCell ref="C12:C13"/>
    <mergeCell ref="D12:E14"/>
    <mergeCell ref="B24:B26"/>
    <mergeCell ref="D24:E26"/>
    <mergeCell ref="B18:B20"/>
    <mergeCell ref="D18:E20"/>
    <mergeCell ref="C21:C22"/>
    <mergeCell ref="D21:E23"/>
    <mergeCell ref="B21:B23"/>
    <mergeCell ref="C18:C19"/>
    <mergeCell ref="F70:G70"/>
    <mergeCell ref="F71:G71"/>
    <mergeCell ref="F72:G72"/>
    <mergeCell ref="F46:G46"/>
    <mergeCell ref="F56:G56"/>
    <mergeCell ref="F57:G57"/>
    <mergeCell ref="F58:G58"/>
    <mergeCell ref="F55:G55"/>
    <mergeCell ref="F49:G49"/>
    <mergeCell ref="F50:G50"/>
    <mergeCell ref="F61:G61"/>
    <mergeCell ref="C44:E44"/>
    <mergeCell ref="C6:C7"/>
    <mergeCell ref="C43:E43"/>
    <mergeCell ref="B1:C1"/>
    <mergeCell ref="B3:G3"/>
    <mergeCell ref="D4:E4"/>
    <mergeCell ref="F4:G4"/>
    <mergeCell ref="D6:E8"/>
    <mergeCell ref="B6:B8"/>
    <mergeCell ref="B9:B11"/>
    <mergeCell ref="D9:E11"/>
    <mergeCell ref="B15:B17"/>
    <mergeCell ref="D15:E17"/>
    <mergeCell ref="C9:C10"/>
    <mergeCell ref="C15:C16"/>
    <mergeCell ref="B5:E5"/>
    <mergeCell ref="F31:G31"/>
    <mergeCell ref="D31:E31"/>
    <mergeCell ref="C32:C36"/>
    <mergeCell ref="B27:B30"/>
    <mergeCell ref="D27:E30"/>
    <mergeCell ref="C27:C28"/>
    <mergeCell ref="C29:C30"/>
    <mergeCell ref="B32:B38"/>
    <mergeCell ref="C37:C38"/>
  </mergeCells>
  <hyperlinks>
    <hyperlink ref="B1:C1" location="Content!A1" display="↖ atgal į turinį " xr:uid="{C1F28AC6-E1C5-42D9-974A-4CDFCB905D96}"/>
    <hyperlink ref="B1" location="Content!A1" display="↖ atgal į turinį" xr:uid="{157D154F-6AF6-4176-8CAF-1EEC7F40D7AF}"/>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9"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36"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35"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G15:G16</xm:sqref>
        </x14:conditionalFormatting>
        <x14:conditionalFormatting xmlns:xm="http://schemas.microsoft.com/office/excel/2006/main">
          <x14:cfRule type="iconSet" priority="34"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G21</xm:sqref>
        </x14:conditionalFormatting>
        <x14:conditionalFormatting xmlns:xm="http://schemas.microsoft.com/office/excel/2006/main">
          <x14:cfRule type="iconSet" priority="33"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G7:G8</xm:sqref>
        </x14:conditionalFormatting>
        <x14:conditionalFormatting xmlns:xm="http://schemas.microsoft.com/office/excel/2006/main">
          <x14:cfRule type="iconSet" priority="37"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xm:sqref>
        </x14:conditionalFormatting>
        <x14:conditionalFormatting xmlns:xm="http://schemas.microsoft.com/office/excel/2006/main">
          <x14:cfRule type="iconSet" priority="38"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F15:F16</xm:sqref>
        </x14:conditionalFormatting>
        <x14:conditionalFormatting xmlns:xm="http://schemas.microsoft.com/office/excel/2006/main">
          <x14:cfRule type="iconSet" priority="39"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40"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F7:F8</xm:sqref>
        </x14:conditionalFormatting>
        <x14:conditionalFormatting xmlns:xm="http://schemas.microsoft.com/office/excel/2006/main">
          <x14:cfRule type="iconSet" priority="41"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F9:F11</xm:sqref>
        </x14:conditionalFormatting>
        <x14:conditionalFormatting xmlns:xm="http://schemas.microsoft.com/office/excel/2006/main">
          <x14:cfRule type="iconSet" priority="42"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F23:G23 G22</xm:sqref>
        </x14:conditionalFormatting>
        <x14:conditionalFormatting xmlns:xm="http://schemas.microsoft.com/office/excel/2006/main">
          <x14:cfRule type="iconSet" priority="30"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G6</xm:sqref>
        </x14:conditionalFormatting>
        <x14:conditionalFormatting xmlns:xm="http://schemas.microsoft.com/office/excel/2006/main">
          <x14:cfRule type="iconSet" priority="26"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xm:sqref>
        </x14:conditionalFormatting>
        <x14:conditionalFormatting xmlns:xm="http://schemas.microsoft.com/office/excel/2006/main">
          <x14:cfRule type="iconSet" priority="23"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24"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22"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xm:sqref>
        </x14:conditionalFormatting>
        <x14:conditionalFormatting xmlns:xm="http://schemas.microsoft.com/office/excel/2006/main">
          <x14:cfRule type="iconSet" priority="21"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G19:G20</xm:sqref>
        </x14:conditionalFormatting>
        <x14:conditionalFormatting xmlns:xm="http://schemas.microsoft.com/office/excel/2006/main">
          <x14:cfRule type="iconSet" priority="13" id="{4B84F8C2-0DBC-46F8-BA57-3D018C22362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F12:F14</xm:sqref>
        </x14:conditionalFormatting>
        <x14:conditionalFormatting xmlns:xm="http://schemas.microsoft.com/office/excel/2006/main">
          <x14:cfRule type="iconSet" priority="11" id="{C3F1928C-D211-4DCB-8DB6-754EF973755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G12</xm:sqref>
        </x14:conditionalFormatting>
        <x14:conditionalFormatting xmlns:xm="http://schemas.microsoft.com/office/excel/2006/main">
          <x14:cfRule type="iconSet" priority="12" id="{37B2E7BC-E823-48CE-AC05-FE55384E77E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xm:sqref>
        </x14:conditionalFormatting>
        <x14:conditionalFormatting xmlns:xm="http://schemas.microsoft.com/office/excel/2006/main">
          <x14:cfRule type="iconSet" priority="9" id="{75B72CB1-75A5-4353-AE17-25F10040A2C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F24</xm:sqref>
        </x14:conditionalFormatting>
        <x14:conditionalFormatting xmlns:xm="http://schemas.microsoft.com/office/excel/2006/main">
          <x14:cfRule type="iconSet" priority="10" id="{2C3F38D9-63D2-46F3-A233-DBC342280EF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F26</xm:sqref>
        </x14:conditionalFormatting>
        <x14:conditionalFormatting xmlns:xm="http://schemas.microsoft.com/office/excel/2006/main">
          <x14:cfRule type="iconSet" priority="8" id="{0696634F-469B-44DB-8112-F7BDB0AC862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F25</xm:sqref>
        </x14:conditionalFormatting>
        <x14:conditionalFormatting xmlns:xm="http://schemas.microsoft.com/office/excel/2006/main">
          <x14:cfRule type="iconSet" priority="7" id="{3984CFD2-872A-45E2-9132-6215A90E40C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G26</xm:sqref>
        </x14:conditionalFormatting>
        <x14:conditionalFormatting xmlns:xm="http://schemas.microsoft.com/office/excel/2006/main">
          <x14:cfRule type="iconSet" priority="5" id="{37A7AC44-43B9-462C-9A84-1AEF3EF5093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G24</xm:sqref>
        </x14:conditionalFormatting>
        <x14:conditionalFormatting xmlns:xm="http://schemas.microsoft.com/office/excel/2006/main">
          <x14:cfRule type="iconSet" priority="3" id="{A1323D7C-DF4E-4E60-B046-C8BBB46DC64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 id="{2F37A855-7DAE-4825-B3C0-5005F12E17A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rgb="FF47ABD9"/>
  </sheetPr>
  <dimension ref="A1:H38"/>
  <sheetViews>
    <sheetView showGridLines="0" showRowColHeaders="0" zoomScaleNormal="100" workbookViewId="0"/>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382" t="s">
        <v>19</v>
      </c>
      <c r="C1" s="382"/>
      <c r="D1" s="2"/>
    </row>
    <row r="2" spans="1:8" ht="14.4" thickBot="1" x14ac:dyDescent="0.3">
      <c r="A2" s="12" t="s">
        <v>20</v>
      </c>
    </row>
    <row r="3" spans="1:8" ht="38.25" customHeight="1" thickTop="1" thickBot="1" x14ac:dyDescent="0.3">
      <c r="B3" s="305" t="s">
        <v>326</v>
      </c>
      <c r="C3" s="383"/>
      <c r="D3" s="383"/>
      <c r="E3" s="383"/>
      <c r="F3" s="384"/>
    </row>
    <row r="4" spans="1:8" ht="28.8" thickBot="1" x14ac:dyDescent="0.35">
      <c r="B4" s="104" t="s">
        <v>198</v>
      </c>
      <c r="C4" s="218" t="s">
        <v>219</v>
      </c>
      <c r="D4" s="218" t="s">
        <v>157</v>
      </c>
      <c r="E4" s="453" t="s">
        <v>158</v>
      </c>
      <c r="F4" s="454"/>
    </row>
    <row r="5" spans="1:8" ht="30" customHeight="1" thickBot="1" x14ac:dyDescent="0.3">
      <c r="B5" s="387" t="s">
        <v>159</v>
      </c>
      <c r="C5" s="388"/>
      <c r="D5" s="389"/>
      <c r="E5" s="128" t="s">
        <v>23</v>
      </c>
      <c r="F5" s="129" t="s">
        <v>24</v>
      </c>
    </row>
    <row r="6" spans="1:8" ht="104.25" customHeight="1" x14ac:dyDescent="0.25">
      <c r="B6" s="214" t="s">
        <v>250</v>
      </c>
      <c r="C6" s="188" t="s">
        <v>251</v>
      </c>
      <c r="D6" s="451" t="s">
        <v>252</v>
      </c>
      <c r="E6" s="151" t="s">
        <v>290</v>
      </c>
      <c r="F6" s="153" t="str">
        <f>E6</f>
        <v>Savivaldybių biudžetų atitiktis fiskalinės drausmės taisyklėms bus vertinama 2022 m. birželio mėn.</v>
      </c>
    </row>
    <row r="7" spans="1:8" ht="61.5" customHeight="1" thickBot="1" x14ac:dyDescent="0.3">
      <c r="B7" s="215"/>
      <c r="C7" s="189" t="s">
        <v>253</v>
      </c>
      <c r="D7" s="452"/>
      <c r="E7" s="90" t="s">
        <v>291</v>
      </c>
      <c r="F7" s="125" t="str">
        <f>E7</f>
        <v>Will be assessed in June 2022</v>
      </c>
      <c r="H7" s="45"/>
    </row>
    <row r="8" spans="1:8" ht="34.5" customHeight="1" thickBot="1" x14ac:dyDescent="0.3">
      <c r="B8" s="216"/>
      <c r="C8" s="458" t="s">
        <v>254</v>
      </c>
      <c r="D8" s="459"/>
      <c r="E8" s="79"/>
      <c r="F8" s="124"/>
    </row>
    <row r="9" spans="1:8" ht="29.25" customHeight="1" x14ac:dyDescent="0.25">
      <c r="B9" s="379" t="s">
        <v>255</v>
      </c>
      <c r="C9" s="469" t="s">
        <v>280</v>
      </c>
      <c r="D9" s="451" t="s">
        <v>256</v>
      </c>
      <c r="E9" s="62" t="str">
        <f>IF(E32&gt;=0,"Tiesa","Netiesa")</f>
        <v>Tiesa</v>
      </c>
      <c r="F9" s="63" t="str">
        <f>IF(F32&gt;=0,"Tiesa","Netiesa")</f>
        <v>Tiesa</v>
      </c>
    </row>
    <row r="10" spans="1:8" ht="29.25" customHeight="1" x14ac:dyDescent="0.25">
      <c r="B10" s="380"/>
      <c r="C10" s="470"/>
      <c r="D10" s="457"/>
      <c r="E10" s="152" t="str">
        <f>CONCATENATE(FIXED(E32,1),IF(E32&gt;= 0," ≥ "," &lt; "),FIXED(0,1))</f>
        <v>0,1 ≥ 0,0</v>
      </c>
      <c r="F10" s="103" t="str">
        <f>CONCATENATE(FIXED(F32,1),IF(F32&gt;= 0," ≥ "," &lt; "),FIXED(0,1))</f>
        <v>0,0 ≥ 0,0</v>
      </c>
    </row>
    <row r="11" spans="1:8" ht="35.25" customHeight="1" thickBot="1" x14ac:dyDescent="0.3">
      <c r="B11" s="380"/>
      <c r="C11" s="190" t="s">
        <v>257</v>
      </c>
      <c r="D11" s="452"/>
      <c r="E11" s="90" t="str">
        <f>IF(E9="Tiesa","True","False")</f>
        <v>True</v>
      </c>
      <c r="F11" s="115" t="str">
        <f>IF(F9="Tiesa","True","False")</f>
        <v>True</v>
      </c>
    </row>
    <row r="12" spans="1:8" ht="21.75" customHeight="1" x14ac:dyDescent="0.25">
      <c r="B12" s="380"/>
      <c r="C12" s="460" t="s">
        <v>258</v>
      </c>
      <c r="D12" s="460"/>
      <c r="E12" s="117" t="str">
        <f>IF(E9="Netiesa","Netenkinama","Tenkinama")</f>
        <v>Tenkinama</v>
      </c>
      <c r="F12" s="118" t="str">
        <f>IF(F9="Netiesa","Netenkinama","Tenkinama")</f>
        <v>Tenkinama</v>
      </c>
    </row>
    <row r="13" spans="1:8" ht="21.75" customHeight="1" thickBot="1" x14ac:dyDescent="0.3">
      <c r="B13" s="381"/>
      <c r="C13" s="410" t="s">
        <v>259</v>
      </c>
      <c r="D13" s="410"/>
      <c r="E13" s="116" t="str">
        <f>IF(E12="Tenkinama","Valid","Invalid ")</f>
        <v>Valid</v>
      </c>
      <c r="F13" s="119" t="str">
        <f>IF(F12="Tenkinama","Valid","Invalid ")</f>
        <v>Valid</v>
      </c>
    </row>
    <row r="14" spans="1:8" ht="17.399999999999999" customHeight="1" x14ac:dyDescent="0.25">
      <c r="B14" s="379" t="s">
        <v>260</v>
      </c>
      <c r="C14" s="402" t="s">
        <v>261</v>
      </c>
      <c r="D14" s="471" t="s">
        <v>262</v>
      </c>
      <c r="E14" s="62" t="str">
        <f>IF(E29+eps&lt;0, "Tiesa","Netiesa")</f>
        <v>Tiesa</v>
      </c>
      <c r="F14" s="63" t="str">
        <f>IF(F29+eps&lt;0,"Tiesa","Netiesa")</f>
        <v>Netiesa</v>
      </c>
    </row>
    <row r="15" spans="1:8" ht="38.25" customHeight="1" x14ac:dyDescent="0.25">
      <c r="B15" s="380"/>
      <c r="C15" s="403"/>
      <c r="D15" s="472"/>
      <c r="E15" s="100" t="str">
        <f>CONCATENATE(FIXED(E29,1),IF(E29+eps&lt;0," &lt; "," ≥ "),FIXED(0,1))</f>
        <v>-0,7 &lt; 0,0</v>
      </c>
      <c r="F15" s="122" t="str">
        <f>CONCATENATE(FIXED(F29,1),IF(F29+eps&lt;0," &lt; "," ≥ "),FIXED(0,1))</f>
        <v>0,7 ≥ 0,0</v>
      </c>
    </row>
    <row r="16" spans="1:8" ht="21" customHeight="1" thickBot="1" x14ac:dyDescent="0.3">
      <c r="B16" s="380"/>
      <c r="C16" s="403"/>
      <c r="D16" s="472"/>
      <c r="E16" s="90" t="str">
        <f>IF(E14="Tiesa","True","False")</f>
        <v>True</v>
      </c>
      <c r="F16" s="126" t="str">
        <f>IF(F14="Tiesa","True","False")</f>
        <v>False</v>
      </c>
    </row>
    <row r="17" spans="2:8" ht="18.75" customHeight="1" x14ac:dyDescent="0.25">
      <c r="B17" s="380"/>
      <c r="C17" s="411" t="s">
        <v>263</v>
      </c>
      <c r="D17" s="472" t="s">
        <v>264</v>
      </c>
      <c r="E17" s="64" t="str">
        <f>IF(OR((E29&gt;=0)*(E30&gt;=0),(E29&gt;=0)*(E30&gt;=E31)),"Tiesa","Netiesa")</f>
        <v>Netiesa</v>
      </c>
      <c r="F17" s="63" t="str">
        <f>IF(OR((F29&gt;=0)*(F30&gt;=0),(F29&gt;=0)*(F30&gt;=F31)),"Tiesa","Netiesa")</f>
        <v>Tiesa</v>
      </c>
    </row>
    <row r="18" spans="2:8" ht="47.25" customHeight="1" x14ac:dyDescent="0.25">
      <c r="B18" s="380"/>
      <c r="C18" s="411"/>
      <c r="D18" s="472"/>
      <c r="E18" s="152" t="str">
        <f>CONCATENATE(FIXED(E29,1),,IF(E29&lt;0," &lt; "," ≥ "),FIXED(0,1), " &amp;
","(",
 FIXED(E30,1),IF(E30&gt;=E31," ≥ "," &lt; "), FIXED(E31,1), " arba / or ",FIXED(E30,1),IF(E30&lt;0," &lt; "," ≥ "),FIXED(0,1),")")</f>
        <v>-0,7 &lt; 0,0 &amp;
(0,6 &lt; 0,9 arba / or 0,6 ≥ 0,0)</v>
      </c>
      <c r="F18" s="122" t="str">
        <f>CONCATENATE(FIXED(F29,1),,IF(F29&lt;0," &lt; "," ≥ "),FIXED(0,1), " &amp;
","(", FIXED(F30,1),IF(F30&gt;=F31," ≥ "," &lt; "), FIXED(F31,1), " arba / or ",FIXED(F30,1),IF(F30&lt;0," &lt; "," ≥ "),FIXED(0,1),")")</f>
        <v>0,7 ≥ 0,0 &amp;
(0,5 &lt; 0,8 arba / or 0,5 ≥ 0,0)</v>
      </c>
    </row>
    <row r="19" spans="2:8" ht="18" customHeight="1" thickBot="1" x14ac:dyDescent="0.3">
      <c r="B19" s="380"/>
      <c r="C19" s="412"/>
      <c r="D19" s="473"/>
      <c r="E19" s="90" t="str">
        <f>IF(E17="Tiesa","True","False")</f>
        <v>False</v>
      </c>
      <c r="F19" s="125" t="str">
        <f>IF(F17="Tiesa","True","False")</f>
        <v>True</v>
      </c>
    </row>
    <row r="20" spans="2:8" ht="21" customHeight="1" x14ac:dyDescent="0.25">
      <c r="B20" s="380"/>
      <c r="C20" s="460" t="s">
        <v>265</v>
      </c>
      <c r="D20" s="460"/>
      <c r="E20" s="120" t="str">
        <f>IF(OR(E14="Tiesa",E17="Tiesa"),"Tenkinama","Netenkinama")</f>
        <v>Tenkinama</v>
      </c>
      <c r="F20" s="118" t="str">
        <f>IF(OR(F14="Tiesa",F17="Tiesa"),"Tenkinama","Netenkinama")</f>
        <v>Tenkinama</v>
      </c>
    </row>
    <row r="21" spans="2:8" ht="21" customHeight="1" thickBot="1" x14ac:dyDescent="0.3">
      <c r="B21" s="381"/>
      <c r="C21" s="410" t="s">
        <v>266</v>
      </c>
      <c r="D21" s="410"/>
      <c r="E21" s="123" t="str">
        <f>IF(E20="Tenkinama","Valid","Invalid ")</f>
        <v>Valid</v>
      </c>
      <c r="F21" s="119" t="str">
        <f>IF(F20="Tenkinama","Valid","Invalid ")</f>
        <v>Valid</v>
      </c>
    </row>
    <row r="22" spans="2:8" ht="101.25" customHeight="1" thickBot="1" x14ac:dyDescent="0.3">
      <c r="B22" s="465" t="s">
        <v>267</v>
      </c>
      <c r="C22" s="188" t="s">
        <v>268</v>
      </c>
      <c r="D22" s="219" t="s">
        <v>269</v>
      </c>
      <c r="E22" s="151" t="str">
        <f>E6</f>
        <v>Savivaldybių biudžetų atitiktis fiskalinės drausmės taisyklėms bus vertinama 2022 m. birželio mėn.</v>
      </c>
      <c r="F22" s="153" t="str">
        <f>E6</f>
        <v>Savivaldybių biudžetų atitiktis fiskalinės drausmės taisyklėms bus vertinama 2022 m. birželio mėn.</v>
      </c>
    </row>
    <row r="23" spans="2:8" ht="64.5" customHeight="1" thickBot="1" x14ac:dyDescent="0.3">
      <c r="B23" s="465"/>
      <c r="C23" s="475" t="s">
        <v>270</v>
      </c>
      <c r="D23" s="472" t="s">
        <v>271</v>
      </c>
      <c r="E23" s="464" t="str">
        <f>E7</f>
        <v>Will be assessed in June 2022</v>
      </c>
      <c r="F23" s="463" t="str">
        <f>F7</f>
        <v>Will be assessed in June 2022</v>
      </c>
    </row>
    <row r="24" spans="2:8" ht="42" customHeight="1" thickBot="1" x14ac:dyDescent="0.3">
      <c r="B24" s="465"/>
      <c r="C24" s="476"/>
      <c r="D24" s="473"/>
      <c r="E24" s="464"/>
      <c r="F24" s="463"/>
    </row>
    <row r="25" spans="2:8" ht="19.5" customHeight="1" thickBot="1" x14ac:dyDescent="0.3">
      <c r="B25" s="379"/>
      <c r="C25" s="366" t="s">
        <v>48</v>
      </c>
      <c r="D25" s="474"/>
      <c r="E25" s="120"/>
      <c r="F25" s="153"/>
    </row>
    <row r="26" spans="2:8" ht="19.5" customHeight="1" thickBot="1" x14ac:dyDescent="0.3">
      <c r="B26" s="466"/>
      <c r="C26" s="467" t="s">
        <v>49</v>
      </c>
      <c r="D26" s="468"/>
      <c r="E26" s="52"/>
      <c r="F26" s="121"/>
    </row>
    <row r="27" spans="2:8" ht="15" thickTop="1" thickBot="1" x14ac:dyDescent="0.3">
      <c r="C27" s="53" t="s">
        <v>272</v>
      </c>
      <c r="D27" s="29"/>
      <c r="E27" s="29"/>
      <c r="F27" s="29"/>
      <c r="H27" s="54"/>
    </row>
    <row r="28" spans="2:8" ht="14.4" thickBot="1" x14ac:dyDescent="0.3">
      <c r="C28" s="106" t="s">
        <v>273</v>
      </c>
      <c r="D28" s="54" t="s">
        <v>184</v>
      </c>
      <c r="E28" s="361">
        <v>2022</v>
      </c>
      <c r="F28" s="361"/>
      <c r="H28" s="54"/>
    </row>
    <row r="29" spans="2:8" ht="14.4" thickBot="1" x14ac:dyDescent="0.3">
      <c r="D29" s="54" t="s">
        <v>188</v>
      </c>
      <c r="E29" s="80">
        <f>'2. Macro'!M20</f>
        <v>-0.74900229283476616</v>
      </c>
      <c r="F29" s="81">
        <f>'2. Macro'!M19</f>
        <v>0.65452103691594488</v>
      </c>
      <c r="H29" s="54"/>
    </row>
    <row r="30" spans="2:8" ht="16.8" thickBot="1" x14ac:dyDescent="0.4">
      <c r="D30" s="54" t="s">
        <v>274</v>
      </c>
      <c r="E30" s="80">
        <f>'3. GGbudget'!F31</f>
        <v>0.6301247191367243</v>
      </c>
      <c r="F30" s="81">
        <f>'3. GGbudget'!H31</f>
        <v>0.48919578733099767</v>
      </c>
      <c r="H30" s="54"/>
    </row>
    <row r="31" spans="2:8" ht="16.8" thickBot="1" x14ac:dyDescent="0.4">
      <c r="D31" s="54" t="s">
        <v>275</v>
      </c>
      <c r="E31" s="80">
        <f>'3. GGbudget'!E31</f>
        <v>0.92460272798120113</v>
      </c>
      <c r="F31" s="81">
        <f>'3. GGbudget'!G31</f>
        <v>0.7820670996459973</v>
      </c>
      <c r="G31" s="26"/>
      <c r="H31" s="54"/>
    </row>
    <row r="32" spans="2:8" ht="16.8" thickBot="1" x14ac:dyDescent="0.4">
      <c r="D32" s="54" t="s">
        <v>276</v>
      </c>
      <c r="E32" s="80">
        <f>'3. GGbudget'!F32</f>
        <v>0.11997594528061911</v>
      </c>
      <c r="F32" s="81">
        <f>'3. GGbudget'!H32</f>
        <v>4.9714075985813982E-2</v>
      </c>
      <c r="H32" s="10"/>
    </row>
    <row r="33" spans="4:8" ht="15" thickBot="1" x14ac:dyDescent="0.35">
      <c r="D33" s="10" t="s">
        <v>50</v>
      </c>
      <c r="E33" s="10"/>
      <c r="F33" s="5"/>
      <c r="G33" s="134" t="s">
        <v>277</v>
      </c>
      <c r="H33" s="10"/>
    </row>
    <row r="34" spans="4:8" ht="15" thickBot="1" x14ac:dyDescent="0.35">
      <c r="D34" s="10" t="s">
        <v>52</v>
      </c>
      <c r="E34" s="461" t="s">
        <v>23</v>
      </c>
      <c r="F34" s="462"/>
      <c r="G34" s="134" t="s">
        <v>53</v>
      </c>
      <c r="H34" s="10"/>
    </row>
    <row r="35" spans="4:8" ht="15" thickBot="1" x14ac:dyDescent="0.35">
      <c r="D35" s="10" t="s">
        <v>54</v>
      </c>
      <c r="E35" s="455" t="s">
        <v>24</v>
      </c>
      <c r="F35" s="456"/>
      <c r="G35" s="233" t="s">
        <v>55</v>
      </c>
    </row>
    <row r="36" spans="4:8" x14ac:dyDescent="0.25">
      <c r="E36" s="54"/>
    </row>
    <row r="37" spans="4:8" x14ac:dyDescent="0.25">
      <c r="E37" s="54"/>
      <c r="F37" s="108"/>
    </row>
    <row r="38" spans="4:8" x14ac:dyDescent="0.25">
      <c r="E38" s="54"/>
      <c r="F38" s="108"/>
    </row>
  </sheetData>
  <mergeCells count="28">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 ref="E35:F35"/>
    <mergeCell ref="D9:D11"/>
    <mergeCell ref="C8:D8"/>
    <mergeCell ref="C12:D12"/>
    <mergeCell ref="C20:D20"/>
    <mergeCell ref="E34:F34"/>
    <mergeCell ref="E28:F28"/>
    <mergeCell ref="F23:F24"/>
    <mergeCell ref="E23:E24"/>
    <mergeCell ref="D6:D7"/>
    <mergeCell ref="B1:C1"/>
    <mergeCell ref="B3:F3"/>
    <mergeCell ref="E4:F4"/>
    <mergeCell ref="B5:D5"/>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MediaLengthInSeconds xmlns="cef9cdfa-f4fd-4645-9be5-758c4949979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3" ma:contentTypeDescription="Kurkite naują dokumentą." ma:contentTypeScope="" ma:versionID="985e03e4051eefe0924448369221f2c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78274c8af4f7aa1c86700f02b1408373"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2.xml><?xml version="1.0" encoding="utf-8"?>
<ds:datastoreItem xmlns:ds="http://schemas.openxmlformats.org/officeDocument/2006/customXml" ds:itemID="{D082EF8B-66EA-4F82-A307-9453EED8E31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53798CE-02C0-48FB-A26A-4B7D145227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2022-05-05T08:19:10Z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16158300</vt:r8>
  </property>
  <property fmtid="{D5CDD505-2E9C-101B-9397-08002B2CF9AE}" pid="6" name="TriggerFlowInfo">
    <vt:lpwstr/>
  </property>
</Properties>
</file>