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2"/>
  <workbookPr codeName="Šios_darbaknygės"/>
  <mc:AlternateContent xmlns:mc="http://schemas.openxmlformats.org/markup-compatibility/2006">
    <mc:Choice Requires="x15">
      <x15ac:absPath xmlns:x15ac="http://schemas.microsoft.com/office/spreadsheetml/2010/11/ac" url="C:\Users\vbindoriute\OneDrive - Lietuvos Respublikos valstybės kontrolė\Biudžeto stebėsenos departamentas\11 Isvados ir ataskaitos\Išvados 2022\3. Išvada dėl biudžeto projekto pakeitimo_antra\06. Grafikai\"/>
    </mc:Choice>
  </mc:AlternateContent>
  <xr:revisionPtr revIDLastSave="4" documentId="6_{71BAB3C1-F78E-41BC-AEC3-D917E750DFAA}" xr6:coauthVersionLast="36" xr6:coauthVersionMax="47" xr10:uidLastSave="{087EE487-2156-4247-AE6D-7376E39B16D1}"/>
  <bookViews>
    <workbookView xWindow="0" yWindow="0" windowWidth="20496" windowHeight="7548" xr2:uid="{A1AE88F9-CA63-4FDE-B84D-B54A80B5E975}"/>
  </bookViews>
  <sheets>
    <sheet name="Content" sheetId="1" r:id="rId1"/>
    <sheet name="1. Summary" sheetId="2" r:id="rId2"/>
    <sheet name="2. Macro" sheetId="3" r:id="rId3"/>
    <sheet name="3. GGbudget" sheetId="4" r:id="rId4"/>
    <sheet name="4. SurplusGG" sheetId="5" r:id="rId5"/>
    <sheet name="5. GGexpenditure" sheetId="6" r:id="rId6"/>
    <sheet name="6. GGbudgets" sheetId="7" r:id="rId7"/>
  </sheets>
  <definedNames>
    <definedName name="eps">'2. Macro'!$D$48</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5" i="3" l="1"/>
  <c r="G21" i="4" l="1"/>
  <c r="F15" i="4"/>
  <c r="F48" i="6"/>
  <c r="F47" i="6"/>
  <c r="F9" i="7" l="1"/>
  <c r="E9" i="7"/>
  <c r="F10" i="7"/>
  <c r="L10" i="3" l="1"/>
  <c r="F8" i="4" l="1"/>
  <c r="F18" i="4"/>
  <c r="G18" i="4"/>
  <c r="H18" i="4"/>
  <c r="H16" i="4"/>
  <c r="H22" i="4"/>
  <c r="F22" i="4"/>
  <c r="G22" i="4"/>
  <c r="E22" i="4"/>
  <c r="H20" i="4"/>
  <c r="F13" i="4"/>
  <c r="E18" i="4"/>
  <c r="F20" i="4"/>
  <c r="G20" i="4"/>
  <c r="E20" i="4"/>
  <c r="H21" i="4"/>
  <c r="F21" i="4"/>
  <c r="E21" i="4"/>
  <c r="G19" i="4"/>
  <c r="F6" i="6" l="1"/>
  <c r="F7" i="6" s="1"/>
  <c r="G6" i="6"/>
  <c r="G7" i="6" s="1"/>
  <c r="G15" i="6"/>
  <c r="G75" i="6" s="1"/>
  <c r="I75" i="6" s="1"/>
  <c r="G47" i="6"/>
  <c r="G62" i="6" s="1"/>
  <c r="G48" i="6"/>
  <c r="F49" i="6"/>
  <c r="F62" i="6" s="1"/>
  <c r="F50" i="6"/>
  <c r="F63" i="6" s="1"/>
  <c r="G51" i="6"/>
  <c r="F52" i="6"/>
  <c r="G53" i="6"/>
  <c r="F60" i="6"/>
  <c r="G60" i="6"/>
  <c r="F61" i="6"/>
  <c r="F65" i="6"/>
  <c r="G65" i="6"/>
  <c r="F66" i="6"/>
  <c r="G66" i="6" s="1"/>
  <c r="F67" i="6"/>
  <c r="G73" i="6" l="1"/>
  <c r="I73" i="6" s="1"/>
  <c r="F73" i="6"/>
  <c r="H73" i="6" s="1"/>
  <c r="G8" i="6"/>
  <c r="F18" i="6"/>
  <c r="F64" i="6"/>
  <c r="G21" i="6"/>
  <c r="F8" i="6"/>
  <c r="F25" i="6"/>
  <c r="G63" i="6"/>
  <c r="F21" i="6"/>
  <c r="F23" i="6" s="1"/>
  <c r="G64" i="6"/>
  <c r="F20" i="6"/>
  <c r="F76" i="6"/>
  <c r="H76" i="6" s="1"/>
  <c r="G25" i="6"/>
  <c r="F77" i="6"/>
  <c r="H77" i="6" s="1"/>
  <c r="G24" i="6"/>
  <c r="G26" i="6" s="1"/>
  <c r="G16" i="6"/>
  <c r="G17" i="6"/>
  <c r="F24" i="6"/>
  <c r="F26" i="6" s="1"/>
  <c r="G77" i="6" l="1"/>
  <c r="I77" i="6" s="1"/>
  <c r="G23" i="6"/>
  <c r="F22" i="6"/>
  <c r="G22" i="6"/>
  <c r="F30" i="4"/>
  <c r="D31" i="3" l="1"/>
  <c r="L33" i="3" l="1"/>
  <c r="M22" i="3" l="1"/>
  <c r="M28" i="3"/>
  <c r="M27" i="3"/>
  <c r="M21" i="3"/>
  <c r="M14" i="3"/>
  <c r="P14" i="3"/>
  <c r="O14" i="3"/>
  <c r="N14" i="3"/>
  <c r="N10" i="3"/>
  <c r="O10" i="3"/>
  <c r="P10" i="3"/>
  <c r="M10" i="3"/>
  <c r="M17" i="3"/>
  <c r="F21" i="5"/>
  <c r="H11" i="4" l="1"/>
  <c r="H23" i="4"/>
  <c r="G23" i="4"/>
  <c r="F7" i="4"/>
  <c r="M29" i="3" l="1"/>
  <c r="N28" i="3"/>
  <c r="N30" i="3" s="1"/>
  <c r="O28" i="3"/>
  <c r="O30" i="3" s="1"/>
  <c r="P28" i="3"/>
  <c r="L27" i="3"/>
  <c r="P30" i="3" l="1"/>
  <c r="G13" i="4"/>
  <c r="E7" i="4" l="1"/>
  <c r="E8" i="4" s="1"/>
  <c r="E23" i="7" l="1"/>
  <c r="F7" i="7"/>
  <c r="F22" i="7"/>
  <c r="E22" i="7"/>
  <c r="F6" i="7"/>
  <c r="F5" i="4" l="1"/>
  <c r="E5" i="4"/>
  <c r="G5" i="3" l="1"/>
  <c r="H5" i="3"/>
  <c r="I5" i="3"/>
  <c r="J5" i="3" s="1"/>
  <c r="K5" i="3" s="1"/>
  <c r="L5" i="3" s="1"/>
  <c r="F5" i="3"/>
  <c r="L19" i="3" l="1"/>
  <c r="D19" i="3"/>
  <c r="F23" i="7" l="1"/>
  <c r="L20" i="3" l="1"/>
  <c r="L13" i="3"/>
  <c r="H7" i="4" l="1"/>
  <c r="L9" i="3" l="1"/>
  <c r="H9" i="4" l="1"/>
  <c r="N17" i="3" l="1"/>
  <c r="O17" i="3"/>
  <c r="P17" i="3"/>
  <c r="M18" i="3"/>
  <c r="N18" i="3"/>
  <c r="O18" i="3"/>
  <c r="P18" i="3"/>
  <c r="L17" i="3"/>
  <c r="M11" i="3"/>
  <c r="N11" i="3" s="1"/>
  <c r="O11" i="3" s="1"/>
  <c r="P11" i="3" s="1"/>
  <c r="P19" i="3" s="1"/>
  <c r="M7" i="3"/>
  <c r="N7" i="3" s="1"/>
  <c r="O7" i="3" l="1"/>
  <c r="N27" i="3"/>
  <c r="N29" i="3" s="1"/>
  <c r="P20" i="3"/>
  <c r="P22" i="3" s="1"/>
  <c r="M20" i="3"/>
  <c r="P21" i="3"/>
  <c r="P23" i="3"/>
  <c r="P25" i="3"/>
  <c r="N20" i="3"/>
  <c r="N19" i="3"/>
  <c r="M19" i="3"/>
  <c r="O19" i="3"/>
  <c r="F13" i="3"/>
  <c r="G13" i="3"/>
  <c r="H13" i="3"/>
  <c r="I13" i="3"/>
  <c r="J13" i="3"/>
  <c r="K13" i="3"/>
  <c r="F10" i="3"/>
  <c r="G10" i="3"/>
  <c r="H10" i="3"/>
  <c r="I10" i="3"/>
  <c r="J10" i="3"/>
  <c r="K10" i="3"/>
  <c r="F9" i="3"/>
  <c r="G9" i="3"/>
  <c r="H9" i="3"/>
  <c r="I9" i="3"/>
  <c r="J9" i="3"/>
  <c r="K9" i="3"/>
  <c r="M24" i="3" l="1"/>
  <c r="P7" i="3"/>
  <c r="P27" i="3" s="1"/>
  <c r="P29" i="3" s="1"/>
  <c r="O27" i="3"/>
  <c r="O29" i="3" s="1"/>
  <c r="O20" i="3"/>
  <c r="P24" i="3"/>
  <c r="P26" i="3"/>
  <c r="F31" i="5"/>
  <c r="F29" i="7"/>
  <c r="E31" i="5"/>
  <c r="E29" i="7"/>
  <c r="E14" i="7" s="1"/>
  <c r="M23" i="3"/>
  <c r="M25" i="3"/>
  <c r="N21" i="3"/>
  <c r="N23" i="3"/>
  <c r="N25" i="3"/>
  <c r="O21" i="3"/>
  <c r="O23" i="3"/>
  <c r="O25" i="3"/>
  <c r="M26" i="3"/>
  <c r="N22" i="3"/>
  <c r="N24" i="3"/>
  <c r="N26" i="3"/>
  <c r="O22" i="3"/>
  <c r="O24" i="3"/>
  <c r="O26" i="3"/>
  <c r="H6" i="4"/>
  <c r="G6" i="4"/>
  <c r="F6" i="4"/>
  <c r="E6" i="4"/>
  <c r="E10" i="4" s="1"/>
  <c r="H5" i="4"/>
  <c r="G5" i="4"/>
  <c r="F15" i="7" l="1"/>
  <c r="F14" i="7"/>
  <c r="H12" i="4"/>
  <c r="H32" i="4" s="1"/>
  <c r="H8" i="4"/>
  <c r="F12" i="4"/>
  <c r="L36" i="3"/>
  <c r="G67" i="6" l="1"/>
  <c r="F9" i="6"/>
  <c r="F10" i="6" s="1"/>
  <c r="H17" i="3"/>
  <c r="E19" i="3"/>
  <c r="G18" i="6" l="1"/>
  <c r="G19" i="6"/>
  <c r="F11" i="6"/>
  <c r="F74" i="6"/>
  <c r="L28" i="3"/>
  <c r="M30" i="3" s="1"/>
  <c r="L21" i="3"/>
  <c r="G76" i="6" l="1"/>
  <c r="I76" i="6" s="1"/>
  <c r="G20" i="6"/>
  <c r="H74" i="6"/>
  <c r="E7" i="5"/>
  <c r="C12" i="2" s="1"/>
  <c r="E6" i="5"/>
  <c r="C11" i="2" s="1"/>
  <c r="D26" i="3"/>
  <c r="D39" i="3" s="1"/>
  <c r="K20" i="3" l="1"/>
  <c r="K26" i="3" l="1"/>
  <c r="D26" i="2" l="1"/>
  <c r="D25" i="2"/>
  <c r="C26" i="2"/>
  <c r="C25" i="2"/>
  <c r="D32" i="2"/>
  <c r="D31" i="2"/>
  <c r="C32" i="2"/>
  <c r="C31" i="2"/>
  <c r="E21" i="5" l="1"/>
  <c r="F23" i="5"/>
  <c r="E23" i="5"/>
  <c r="F20" i="5"/>
  <c r="E20" i="5"/>
  <c r="D10" i="2" l="1"/>
  <c r="C10" i="2"/>
  <c r="E36" i="5"/>
  <c r="E39" i="5"/>
  <c r="E38" i="5"/>
  <c r="E37" i="5"/>
  <c r="F22" i="5"/>
  <c r="D9" i="2" s="1"/>
  <c r="E32" i="5"/>
  <c r="E30" i="5"/>
  <c r="F18" i="5" l="1"/>
  <c r="E18" i="5"/>
  <c r="E17" i="5"/>
  <c r="E19" i="5" s="1"/>
  <c r="F17" i="5"/>
  <c r="F19" i="5" s="1"/>
  <c r="E40" i="5"/>
  <c r="D7" i="2"/>
  <c r="C8" i="2" l="1"/>
  <c r="D8" i="2"/>
  <c r="E22" i="5"/>
  <c r="C9" i="2" s="1"/>
  <c r="C7" i="2"/>
  <c r="H29" i="4" l="1"/>
  <c r="G29" i="4"/>
  <c r="G15" i="4" l="1"/>
  <c r="G11" i="4"/>
  <c r="G9" i="4"/>
  <c r="G16" i="4" l="1"/>
  <c r="G52" i="6"/>
  <c r="G7" i="4"/>
  <c r="H10" i="4"/>
  <c r="E24" i="4"/>
  <c r="L37" i="3"/>
  <c r="F53" i="6" s="1"/>
  <c r="K37" i="3"/>
  <c r="F54" i="6" s="1"/>
  <c r="G54" i="6" s="1"/>
  <c r="J37" i="3"/>
  <c r="I37" i="3"/>
  <c r="H37" i="3"/>
  <c r="G37" i="3"/>
  <c r="F37" i="3"/>
  <c r="E37" i="3"/>
  <c r="K36" i="3"/>
  <c r="J36" i="3"/>
  <c r="I36" i="3"/>
  <c r="H36" i="3"/>
  <c r="G36" i="3"/>
  <c r="F36" i="3"/>
  <c r="E36" i="3"/>
  <c r="D36" i="3"/>
  <c r="D37" i="3" s="1"/>
  <c r="K33" i="3"/>
  <c r="J33" i="3"/>
  <c r="I33" i="3"/>
  <c r="H33" i="3"/>
  <c r="G33" i="3"/>
  <c r="F33" i="3"/>
  <c r="D33" i="3"/>
  <c r="D30" i="3"/>
  <c r="D29" i="3"/>
  <c r="K28" i="3"/>
  <c r="L30" i="3" s="1"/>
  <c r="J28" i="3"/>
  <c r="I28" i="3"/>
  <c r="H28" i="3"/>
  <c r="G28" i="3"/>
  <c r="F28" i="3"/>
  <c r="E28" i="3"/>
  <c r="D28" i="3"/>
  <c r="K27" i="3"/>
  <c r="J27" i="3"/>
  <c r="I27" i="3"/>
  <c r="H27" i="3"/>
  <c r="G27" i="3"/>
  <c r="F27" i="3"/>
  <c r="E27" i="3"/>
  <c r="D27" i="3"/>
  <c r="D40" i="3"/>
  <c r="D25" i="3"/>
  <c r="D24" i="3"/>
  <c r="D23" i="3"/>
  <c r="D22" i="3"/>
  <c r="D21" i="3"/>
  <c r="J20" i="3"/>
  <c r="J26" i="3" s="1"/>
  <c r="I20" i="3"/>
  <c r="H20" i="3"/>
  <c r="G20" i="3"/>
  <c r="F20" i="3"/>
  <c r="E20" i="3"/>
  <c r="D20" i="3"/>
  <c r="L25" i="3"/>
  <c r="K19" i="3"/>
  <c r="J19" i="3"/>
  <c r="J23" i="3" s="1"/>
  <c r="I19" i="3"/>
  <c r="H19" i="3"/>
  <c r="G19" i="3"/>
  <c r="F19" i="3"/>
  <c r="L18" i="3"/>
  <c r="K18" i="3"/>
  <c r="J18" i="3"/>
  <c r="I18" i="3"/>
  <c r="H18" i="3"/>
  <c r="G18" i="3"/>
  <c r="F18" i="3"/>
  <c r="D18" i="3"/>
  <c r="K17" i="3"/>
  <c r="J17" i="3"/>
  <c r="I17" i="3"/>
  <c r="G17" i="3"/>
  <c r="F17" i="3"/>
  <c r="D17" i="3"/>
  <c r="L14" i="3"/>
  <c r="K14" i="3"/>
  <c r="J14" i="3"/>
  <c r="I14" i="3"/>
  <c r="H14" i="3"/>
  <c r="G14" i="3"/>
  <c r="F14" i="3"/>
  <c r="D14" i="3"/>
  <c r="D13" i="3"/>
  <c r="D11" i="3"/>
  <c r="D10" i="3"/>
  <c r="D12" i="3" s="1"/>
  <c r="D9" i="3"/>
  <c r="F15" i="6" l="1"/>
  <c r="F12" i="6"/>
  <c r="F13" i="6" s="1"/>
  <c r="G12" i="6"/>
  <c r="L29" i="3"/>
  <c r="F24" i="4"/>
  <c r="F29" i="3"/>
  <c r="J29" i="3"/>
  <c r="I30" i="3"/>
  <c r="K21" i="3"/>
  <c r="K23" i="3"/>
  <c r="L26" i="3"/>
  <c r="L24" i="3"/>
  <c r="L22" i="3"/>
  <c r="E30" i="4" s="1"/>
  <c r="H24" i="4"/>
  <c r="G10" i="4"/>
  <c r="E26" i="4"/>
  <c r="E31" i="4" s="1"/>
  <c r="H29" i="3"/>
  <c r="G30" i="3"/>
  <c r="K30" i="3"/>
  <c r="F10" i="4"/>
  <c r="F26" i="4"/>
  <c r="H30" i="4"/>
  <c r="E28" i="4"/>
  <c r="F28" i="4"/>
  <c r="F32" i="4" s="1"/>
  <c r="E32" i="7" s="1"/>
  <c r="E10" i="7" s="1"/>
  <c r="G26" i="4"/>
  <c r="H14" i="4"/>
  <c r="H26" i="4"/>
  <c r="H31" i="4" s="1"/>
  <c r="G8" i="4"/>
  <c r="G24" i="4"/>
  <c r="E14" i="4"/>
  <c r="E12" i="4"/>
  <c r="G28" i="4"/>
  <c r="H28" i="4"/>
  <c r="G14" i="4"/>
  <c r="G29" i="3"/>
  <c r="E16" i="4"/>
  <c r="G12" i="4"/>
  <c r="F30" i="3"/>
  <c r="J30" i="3"/>
  <c r="K29" i="3"/>
  <c r="I29" i="3"/>
  <c r="H30" i="3"/>
  <c r="P5" i="3"/>
  <c r="O5" i="3"/>
  <c r="N5" i="3"/>
  <c r="G21" i="3"/>
  <c r="I22" i="3"/>
  <c r="H21" i="3"/>
  <c r="F22" i="3"/>
  <c r="J22" i="3"/>
  <c r="L23" i="3"/>
  <c r="J24" i="3"/>
  <c r="J25" i="3"/>
  <c r="E22" i="3"/>
  <c r="E21" i="3"/>
  <c r="I21" i="3"/>
  <c r="G22" i="3"/>
  <c r="K22" i="3"/>
  <c r="K24" i="3"/>
  <c r="K25" i="3"/>
  <c r="F21" i="3"/>
  <c r="J21" i="3"/>
  <c r="H22" i="3"/>
  <c r="G9" i="6" l="1"/>
  <c r="G10" i="6" s="1"/>
  <c r="G14" i="6"/>
  <c r="G39" i="6"/>
  <c r="G41" i="6" s="1"/>
  <c r="G13" i="6"/>
  <c r="F14" i="6"/>
  <c r="F39" i="6"/>
  <c r="F41" i="6" s="1"/>
  <c r="F16" i="6"/>
  <c r="F19" i="6"/>
  <c r="F75" i="6"/>
  <c r="F17" i="6"/>
  <c r="F27" i="6"/>
  <c r="G30" i="4"/>
  <c r="F31" i="4"/>
  <c r="E30" i="7" s="1"/>
  <c r="E31" i="7"/>
  <c r="F32" i="7"/>
  <c r="G32" i="4"/>
  <c r="G31" i="4"/>
  <c r="F31" i="7" s="1"/>
  <c r="F29" i="5"/>
  <c r="E32" i="4"/>
  <c r="E28" i="5"/>
  <c r="E15" i="7"/>
  <c r="F30" i="7"/>
  <c r="F28" i="5"/>
  <c r="E29" i="5"/>
  <c r="E12" i="5" s="1"/>
  <c r="E16" i="7"/>
  <c r="F16" i="7"/>
  <c r="G27" i="6" l="1"/>
  <c r="G11" i="6"/>
  <c r="G74" i="6"/>
  <c r="F32" i="6"/>
  <c r="F35" i="6" s="1"/>
  <c r="F29" i="6"/>
  <c r="F33" i="6"/>
  <c r="H75" i="6"/>
  <c r="F78" i="6"/>
  <c r="F36" i="6" s="1"/>
  <c r="F12" i="7"/>
  <c r="E17" i="7"/>
  <c r="E9" i="5"/>
  <c r="E18" i="7"/>
  <c r="F18" i="7"/>
  <c r="F9" i="5"/>
  <c r="F17" i="7"/>
  <c r="F19" i="7" s="1"/>
  <c r="F8" i="5"/>
  <c r="F10" i="5" s="1"/>
  <c r="E8" i="5"/>
  <c r="E10" i="5" s="1"/>
  <c r="E11" i="7"/>
  <c r="I74" i="6" l="1"/>
  <c r="G78" i="6"/>
  <c r="G29" i="6"/>
  <c r="G36" i="6"/>
  <c r="G32" i="6"/>
  <c r="G35" i="6" s="1"/>
  <c r="G28" i="6"/>
  <c r="F28" i="6"/>
  <c r="F34" i="6"/>
  <c r="F30" i="6"/>
  <c r="F38" i="6"/>
  <c r="F37" i="6"/>
  <c r="E19" i="7"/>
  <c r="E20" i="7"/>
  <c r="C29" i="2" s="1"/>
  <c r="F11" i="7"/>
  <c r="F20" i="7"/>
  <c r="D29" i="2" s="1"/>
  <c r="E12" i="7"/>
  <c r="E13" i="7" s="1"/>
  <c r="C28" i="2" s="1"/>
  <c r="C14" i="2"/>
  <c r="D14" i="2"/>
  <c r="F13" i="7"/>
  <c r="D28" i="2" s="1"/>
  <c r="D27" i="2"/>
  <c r="F40" i="6" l="1"/>
  <c r="G40" i="6"/>
  <c r="G33" i="6"/>
  <c r="G30" i="6"/>
  <c r="D17" i="2" s="1"/>
  <c r="G34" i="6"/>
  <c r="G38" i="6"/>
  <c r="G37" i="6"/>
  <c r="C27" i="2"/>
  <c r="F21" i="7"/>
  <c r="D30" i="2" s="1"/>
  <c r="C19" i="2"/>
  <c r="C20" i="2"/>
  <c r="E21" i="7"/>
  <c r="C30" i="2" s="1"/>
  <c r="F15" i="5"/>
  <c r="F12" i="5"/>
  <c r="D15" i="2"/>
  <c r="C18" i="2"/>
  <c r="C15" i="2"/>
  <c r="C21" i="2"/>
  <c r="D21" i="2"/>
  <c r="C17" i="2"/>
  <c r="D16" i="2"/>
  <c r="C16" i="2"/>
  <c r="F11" i="5"/>
  <c r="F13" i="5" s="1"/>
  <c r="F14" i="5"/>
  <c r="F16" i="5" s="1"/>
  <c r="F42" i="6" l="1"/>
  <c r="G42" i="6"/>
  <c r="D20" i="2"/>
  <c r="D19" i="2"/>
  <c r="D18" i="2"/>
  <c r="E15" i="5"/>
  <c r="E14" i="5"/>
  <c r="E16" i="5" s="1"/>
  <c r="E11" i="5"/>
  <c r="E13" i="5" s="1"/>
  <c r="F51" i="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Autorius</author>
  </authors>
  <commentList>
    <comment ref="B33" authorId="0" shapeId="0" xr:uid="{4343F627-290C-48E1-BD09-1A0A722583D2}">
      <text>
        <r>
          <rPr>
            <b/>
            <sz val="9"/>
            <color indexed="81"/>
            <rFont val="Tahoma"/>
            <family val="2"/>
            <charset val="186"/>
          </rPr>
          <t>Vidutinio laikotarpio tikslas:</t>
        </r>
        <r>
          <rPr>
            <sz val="9"/>
            <color indexed="81"/>
            <rFont val="Tahoma"/>
            <family val="2"/>
            <charset val="186"/>
          </rPr>
          <t xml:space="preserve">
≥-1,0 proc. jeigu VS skolos ir BVP to meto kainomis santykis yra mažesnis nei 60 proc. BVP to meto kainomis ir rizika dėl Lietuvos VS finansų ilgalaikio tvarumo yra maža;
≥-0,5 proc. kitaip.</t>
        </r>
      </text>
    </comment>
  </commentList>
</comments>
</file>

<file path=xl/sharedStrings.xml><?xml version="1.0" encoding="utf-8"?>
<sst xmlns="http://schemas.openxmlformats.org/spreadsheetml/2006/main" count="422" uniqueCount="328">
  <si>
    <t xml:space="preserve">FISKALINĖS DRAUSMĖS TAISYKLIŲ LAIKYMOSI SKAIČIUOKLĖ / 
SPREADSHEET OF THE FULFILMENT OF FISCAL DISCIPLINE RULES  </t>
  </si>
  <si>
    <t>APRAŠYMAS / DESCRIPTION</t>
  </si>
  <si>
    <t xml:space="preserve">1. Fiskalinės drausmės taisyklių laikymosi suvestinė / Summary of the fulfilment of the fiscal discipline rules </t>
  </si>
  <si>
    <t>1. DUOMENYS / DATA</t>
  </si>
  <si>
    <t>2. Makroekonominiai ir ciklo rodikliai / Macroeconomic and cyclical indicators</t>
  </si>
  <si>
    <t>3. VS fiskaliniai rodikliai / GG fiscal indicators</t>
  </si>
  <si>
    <t>2. FISKALINĖS DRAUSMĖS TAISYKLĖS / FISCAL RULES</t>
  </si>
  <si>
    <t>4. Perteklinio VS taisyklė / Surplus GG rule</t>
  </si>
  <si>
    <t>5. VS išlaidų augimo ribojimo taisyklė / GG expenditure growth limiting rule</t>
  </si>
  <si>
    <t>6. VS priskiriamų biudžetų taisyklė / Rules for the budgets attributable to GG sector</t>
  </si>
  <si>
    <t>NUORODOS / REFERENCES</t>
  </si>
  <si>
    <t>KĮ</t>
  </si>
  <si>
    <t xml:space="preserve">Lietuvos Respublikos fiskalinės sutarties įgyvendinimo konstitucinis įstatymas </t>
  </si>
  <si>
    <t>CL</t>
  </si>
  <si>
    <t>Republic of Lithuania Constitutional Law on the Implementation of the Fiscal Treaty</t>
  </si>
  <si>
    <t>FDĮ</t>
  </si>
  <si>
    <t xml:space="preserve">Lietuvos Respublikos fiskalinės drausmės įstatymas </t>
  </si>
  <si>
    <t>FDL</t>
  </si>
  <si>
    <t>Republic of Lithuania Fiscal Discipline Law</t>
  </si>
  <si>
    <t>↖ Turinys  / Content</t>
  </si>
  <si>
    <t>LT</t>
  </si>
  <si>
    <t>Taisyklė / Rule</t>
  </si>
  <si>
    <r>
      <t xml:space="preserve">Institucija, kurios projekcijų pagrindu atliekama analizė
</t>
    </r>
    <r>
      <rPr>
        <i/>
        <sz val="11"/>
        <rFont val="Arial"/>
        <family val="2"/>
        <charset val="186"/>
      </rPr>
      <t>Institution, projections of which are used for the analysis</t>
    </r>
  </si>
  <si>
    <t>FM</t>
  </si>
  <si>
    <t>VK FI</t>
  </si>
  <si>
    <t>Perteklinio VS taisyklė / Surplus GG sector rule</t>
  </si>
  <si>
    <t xml:space="preserve">Ar patenkinta bent viena perteklinio VS taisyklės sąlygų?
</t>
  </si>
  <si>
    <t>Is at least one condition of the surplus GG rule satisfied?</t>
  </si>
  <si>
    <r>
      <t xml:space="preserve">Ar </t>
    </r>
    <r>
      <rPr>
        <i/>
        <sz val="11"/>
        <color rgb="FF000000"/>
        <rFont val="Arial"/>
        <family val="2"/>
        <charset val="186"/>
      </rPr>
      <t>t</t>
    </r>
    <r>
      <rPr>
        <sz val="11"/>
        <color rgb="FF000000"/>
        <rFont val="Arial"/>
        <family val="2"/>
        <charset val="186"/>
      </rPr>
      <t xml:space="preserve"> metai yra išskirtinių aplinkybių metai?</t>
    </r>
  </si>
  <si>
    <t>Is year t a year of exceptional circumstances?</t>
  </si>
  <si>
    <t>VS išlaidų augimo ribojimo taisyklė / GG expenditure growth limiting rule</t>
  </si>
  <si>
    <t xml:space="preserve">Ar susidaro bent viena aplinkybė, leidžianti netaikyti VS išlaidų augimo ribojimo taisyklės?
</t>
  </si>
  <si>
    <t>Is at least one escape clause, which allows switching off GG expenditure growth limiting rule, valid?</t>
  </si>
  <si>
    <t>Ar taikoma VS išlaidų augimą ribojimo taisyklė?</t>
  </si>
  <si>
    <t>Is GG expenditure growth limiting rule applied?</t>
  </si>
  <si>
    <t>Ar galioja VS išlaidų augimo ribojimo taisyklė?</t>
  </si>
  <si>
    <t xml:space="preserve">Netikrinama </t>
  </si>
  <si>
    <t xml:space="preserve">Netikrinama 
</t>
  </si>
  <si>
    <t>Is GG expenditure growth limiting rule valid?</t>
  </si>
  <si>
    <t>Not verified</t>
  </si>
  <si>
    <t>VS priskiriamų biudžetų taisyklės / Rules for the budgets attributable to GG sector</t>
  </si>
  <si>
    <t>Netikrinama</t>
  </si>
  <si>
    <r>
      <t xml:space="preserve">Savivaldybių (j), kurių asignavimai didesni nei 0,3 proc. nominalaus BVP, </t>
    </r>
    <r>
      <rPr>
        <sz val="11"/>
        <color rgb="FF000000"/>
        <rFont val="Arial"/>
        <family val="2"/>
        <charset val="186"/>
      </rPr>
      <t>struktūrinio biudžeto (SB) taisyklė</t>
    </r>
  </si>
  <si>
    <t>Structural budget rule for local governments (j) with appropriations  exceeding 0,3 % of nominal GDP</t>
  </si>
  <si>
    <t>Taisyklė PSDF struktūriniam biudžetui</t>
  </si>
  <si>
    <t>Rule for NHIF structural budget</t>
  </si>
  <si>
    <t>Taisyklė VSDF struktūriniam biudžetui</t>
  </si>
  <si>
    <t>Rule for SSIF structural budget</t>
  </si>
  <si>
    <t>Taisyklė savivaldybių (j) asignavimams, kurie neviršija 0,3 proc. BVP</t>
  </si>
  <si>
    <t>Rule for local governments (j) appropriations of which does not exceed 0.3 % of GDP</t>
  </si>
  <si>
    <t>Šaltiniai:</t>
  </si>
  <si>
    <t>Sources:</t>
  </si>
  <si>
    <t>Finansų ministerija</t>
  </si>
  <si>
    <t>Ministry of Finance</t>
  </si>
  <si>
    <t>Valstybės kontrolė, vykdanti fiskalinės institucijos funkcijas</t>
  </si>
  <si>
    <t>National Audit Office of Lithuania, implementing the functions of the fiscal 
institution</t>
  </si>
  <si>
    <t>2. Makroekonominiai ir ciklo rodikliai 
Macroeconomic and cyclical indicators</t>
  </si>
  <si>
    <r>
      <t xml:space="preserve">Rodiklis
</t>
    </r>
    <r>
      <rPr>
        <i/>
        <sz val="11"/>
        <color rgb="FF000000"/>
        <rFont val="Arial"/>
        <family val="2"/>
        <charset val="186"/>
      </rPr>
      <t>Indicator</t>
    </r>
  </si>
  <si>
    <r>
      <t xml:space="preserve">Žymėjimas | Formulė
</t>
    </r>
    <r>
      <rPr>
        <i/>
        <sz val="11"/>
        <color rgb="FF000000"/>
        <rFont val="Arial"/>
        <family val="2"/>
        <charset val="186"/>
      </rPr>
      <t xml:space="preserve">Notation | Formula     </t>
    </r>
    <r>
      <rPr>
        <sz val="11"/>
        <color rgb="FF000000"/>
        <rFont val="Arial"/>
        <family val="2"/>
        <charset val="186"/>
      </rPr>
      <t xml:space="preserve">               </t>
    </r>
  </si>
  <si>
    <r>
      <t xml:space="preserve">Duomenys atnaujinti
</t>
    </r>
    <r>
      <rPr>
        <i/>
        <sz val="11"/>
        <rFont val="Arial"/>
        <family val="2"/>
        <charset val="186"/>
      </rPr>
      <t>Data updated on</t>
    </r>
  </si>
  <si>
    <t>Laikas / Time</t>
  </si>
  <si>
    <t>T</t>
  </si>
  <si>
    <t>t−2</t>
  </si>
  <si>
    <t>t−1</t>
  </si>
  <si>
    <t>t</t>
  </si>
  <si>
    <t>t+1</t>
  </si>
  <si>
    <t>t+2</t>
  </si>
  <si>
    <t>t+3</t>
  </si>
  <si>
    <r>
      <t xml:space="preserve">Nominalusis BVP, mln. EUR
</t>
    </r>
    <r>
      <rPr>
        <i/>
        <sz val="11"/>
        <color rgb="FF000000"/>
        <rFont val="Arial"/>
        <family val="2"/>
        <charset val="186"/>
      </rPr>
      <t>Nominal GDP, million EUR</t>
    </r>
  </si>
  <si>
    <t>YN(T)</t>
  </si>
  <si>
    <r>
      <t xml:space="preserve">Nominalusis BVP, metinis augimas proc.
</t>
    </r>
    <r>
      <rPr>
        <i/>
        <sz val="11"/>
        <color rgb="FF000000"/>
        <rFont val="Arial"/>
        <family val="2"/>
        <charset val="186"/>
      </rPr>
      <t>Nominal GDP growth, annual % change</t>
    </r>
  </si>
  <si>
    <t>ΔYN(T)=(YN(T)/YN(T–1)–1)∙100</t>
  </si>
  <si>
    <r>
      <t xml:space="preserve">Realusis BVP, mln. EUR
</t>
    </r>
    <r>
      <rPr>
        <i/>
        <sz val="11"/>
        <color rgb="FF000000"/>
        <rFont val="Arial"/>
        <family val="2"/>
        <charset val="186"/>
      </rPr>
      <t>Real GDP, million EUR</t>
    </r>
  </si>
  <si>
    <t>YR(T)</t>
  </si>
  <si>
    <r>
      <t xml:space="preserve">Realusis BVP, metinis augimas proc.
</t>
    </r>
    <r>
      <rPr>
        <i/>
        <sz val="11"/>
        <color rgb="FF000000"/>
        <rFont val="Arial"/>
        <family val="2"/>
        <charset val="186"/>
      </rPr>
      <t>Real GDP growth, annual % change</t>
    </r>
  </si>
  <si>
    <t>ΔYR(T)=(YR(T)/YR(T–1)–1)∙100</t>
  </si>
  <si>
    <t>Potencialus BVP, mln. EUR
Potential GDP, million EUR</t>
  </si>
  <si>
    <t>Y*(T)</t>
  </si>
  <si>
    <t>Potencialus BVP, metinis augimas proc.
Potential GDP growth, annual % change</t>
  </si>
  <si>
    <t>ΔY*(T)=(Y*(T)/Y*(T–1)–1)∙100</t>
  </si>
  <si>
    <r>
      <t xml:space="preserve">Atotrūkis nuo potencialo, proc. pot. BVP
</t>
    </r>
    <r>
      <rPr>
        <i/>
        <sz val="11"/>
        <color rgb="FF000000"/>
        <rFont val="Arial"/>
        <family val="2"/>
        <charset val="186"/>
      </rPr>
      <t>Output gap (OG), % pot. GDP</t>
    </r>
  </si>
  <si>
    <t>AP(T)=(YR(T)/Y*(T)–1)∙100</t>
  </si>
  <si>
    <r>
      <t xml:space="preserve">Ciklinė VS biudžeto dedamoji, proc. pot. BVP
</t>
    </r>
    <r>
      <rPr>
        <i/>
        <sz val="11"/>
        <rFont val="Arial"/>
        <family val="2"/>
        <charset val="186"/>
      </rPr>
      <t>Cyclical GG budgetary component, % pot. GDP</t>
    </r>
  </si>
  <si>
    <t>CB(T) = ε∙AP(T)</t>
  </si>
  <si>
    <r>
      <t xml:space="preserve">Ciklinė VSDF biudžeto dedamoji, proc. pot. BVP
</t>
    </r>
    <r>
      <rPr>
        <i/>
        <sz val="11"/>
        <rFont val="Arial"/>
        <family val="2"/>
        <charset val="186"/>
      </rPr>
      <t>Cyclical SSIF budgetary component, % pot. GDP</t>
    </r>
  </si>
  <si>
    <r>
      <t>CB</t>
    </r>
    <r>
      <rPr>
        <vertAlign val="subscript"/>
        <sz val="11"/>
        <rFont val="Arial"/>
        <family val="2"/>
        <charset val="186"/>
      </rPr>
      <t>VSDF</t>
    </r>
    <r>
      <rPr>
        <sz val="11"/>
        <rFont val="Arial"/>
        <family val="2"/>
        <charset val="186"/>
      </rPr>
      <t>(T) = ε</t>
    </r>
    <r>
      <rPr>
        <vertAlign val="subscript"/>
        <sz val="11"/>
        <rFont val="Arial"/>
        <family val="2"/>
        <charset val="186"/>
      </rPr>
      <t>VSDF</t>
    </r>
    <r>
      <rPr>
        <sz val="11"/>
        <rFont val="Arial"/>
        <family val="2"/>
        <charset val="186"/>
      </rPr>
      <t>∙AP(T)</t>
    </r>
  </si>
  <si>
    <r>
      <t xml:space="preserve">Ciklinė PSDF biudžeto dedamoji, proc. pot. BVP
</t>
    </r>
    <r>
      <rPr>
        <i/>
        <sz val="11"/>
        <rFont val="Arial"/>
        <family val="2"/>
        <charset val="186"/>
      </rPr>
      <t>Cyclical NHIF budgetary component, % pot. GDP</t>
    </r>
  </si>
  <si>
    <r>
      <t>CB</t>
    </r>
    <r>
      <rPr>
        <vertAlign val="subscript"/>
        <sz val="11"/>
        <rFont val="Arial"/>
        <family val="2"/>
        <charset val="186"/>
      </rPr>
      <t>PSDF</t>
    </r>
    <r>
      <rPr>
        <sz val="11"/>
        <rFont val="Arial"/>
        <family val="2"/>
        <charset val="186"/>
      </rPr>
      <t>(T) = ε</t>
    </r>
    <r>
      <rPr>
        <vertAlign val="subscript"/>
        <sz val="11"/>
        <rFont val="Arial"/>
        <family val="2"/>
        <charset val="186"/>
      </rPr>
      <t>PSDF</t>
    </r>
    <r>
      <rPr>
        <sz val="11"/>
        <rFont val="Arial"/>
        <family val="2"/>
        <charset val="186"/>
      </rPr>
      <t>∙AP(T)</t>
    </r>
  </si>
  <si>
    <r>
      <t xml:space="preserve">BVP defliatorius, 2015 = 100
</t>
    </r>
    <r>
      <rPr>
        <i/>
        <sz val="11"/>
        <color rgb="FF000000"/>
        <rFont val="Arial"/>
        <family val="2"/>
        <charset val="186"/>
      </rPr>
      <t>GDP deflator, 2015 = 100</t>
    </r>
  </si>
  <si>
    <t>P(T) = YN(T)/YR(T)</t>
  </si>
  <si>
    <r>
      <t xml:space="preserve">BVP defliatorius, metinis augimas proc.
</t>
    </r>
    <r>
      <rPr>
        <i/>
        <sz val="11"/>
        <color rgb="FF000000"/>
        <rFont val="Arial"/>
        <family val="2"/>
        <charset val="186"/>
      </rPr>
      <t>GDP deflator, annual % change</t>
    </r>
  </si>
  <si>
    <t>ΔP(T)=(P(T)/P(T–1)–1)∙100</t>
  </si>
  <si>
    <r>
      <t xml:space="preserve">ES nominalus BVP, mlrd. EUR
</t>
    </r>
    <r>
      <rPr>
        <i/>
        <sz val="11"/>
        <color rgb="FF000000"/>
        <rFont val="Arial"/>
        <family val="2"/>
        <charset val="186"/>
      </rPr>
      <t>EU nominal GDP, billion EUR</t>
    </r>
  </si>
  <si>
    <r>
      <t>YN</t>
    </r>
    <r>
      <rPr>
        <vertAlign val="subscript"/>
        <sz val="11"/>
        <rFont val="Arial"/>
        <family val="2"/>
        <charset val="186"/>
      </rPr>
      <t>ES</t>
    </r>
    <r>
      <rPr>
        <sz val="11"/>
        <rFont val="Arial"/>
        <family val="2"/>
        <charset val="186"/>
      </rPr>
      <t>(T)</t>
    </r>
  </si>
  <si>
    <r>
      <t xml:space="preserve">ES nominalus BVP, metinis augimas proc.
</t>
    </r>
    <r>
      <rPr>
        <i/>
        <sz val="11"/>
        <color rgb="FF000000"/>
        <rFont val="Arial"/>
        <family val="2"/>
        <charset val="186"/>
      </rPr>
      <t>EU nominal GDP growth, annual % change</t>
    </r>
  </si>
  <si>
    <r>
      <t>ΔYN</t>
    </r>
    <r>
      <rPr>
        <vertAlign val="subscript"/>
        <sz val="11"/>
        <rFont val="Arial"/>
        <family val="2"/>
        <charset val="186"/>
      </rPr>
      <t>ES</t>
    </r>
    <r>
      <rPr>
        <sz val="11"/>
        <rFont val="Arial"/>
        <family val="2"/>
        <charset val="186"/>
      </rPr>
      <t>(T)=(YN</t>
    </r>
    <r>
      <rPr>
        <vertAlign val="subscript"/>
        <sz val="11"/>
        <rFont val="Arial"/>
        <family val="2"/>
        <charset val="186"/>
      </rPr>
      <t>ES</t>
    </r>
    <r>
      <rPr>
        <sz val="11"/>
        <rFont val="Arial"/>
        <family val="2"/>
        <charset val="186"/>
      </rPr>
      <t>(T)/YN</t>
    </r>
    <r>
      <rPr>
        <vertAlign val="subscript"/>
        <sz val="11"/>
        <rFont val="Arial"/>
        <family val="2"/>
        <charset val="186"/>
      </rPr>
      <t>ES</t>
    </r>
    <r>
      <rPr>
        <sz val="11"/>
        <rFont val="Arial"/>
        <family val="2"/>
        <charset val="186"/>
      </rPr>
      <t>(T–1)–1)∙100</t>
    </r>
  </si>
  <si>
    <r>
      <t xml:space="preserve">VS biudžeto balansas mln. EUR
</t>
    </r>
    <r>
      <rPr>
        <i/>
        <sz val="11"/>
        <rFont val="Arial"/>
        <family val="2"/>
        <charset val="186"/>
      </rPr>
      <t>Balance of GG budget, million EUR</t>
    </r>
  </si>
  <si>
    <t>BL(T)</t>
  </si>
  <si>
    <r>
      <t xml:space="preserve">VS biudžeto balansas proc. BVP
</t>
    </r>
    <r>
      <rPr>
        <i/>
        <sz val="11"/>
        <color rgb="FF000000"/>
        <rFont val="Arial"/>
        <family val="2"/>
        <charset val="186"/>
      </rPr>
      <t>Balance of GG budget, % of GDP</t>
    </r>
  </si>
  <si>
    <t>B(T)=BL(T)/YN(T)</t>
  </si>
  <si>
    <r>
      <t xml:space="preserve">VS biudžeto dalinis elastingumas pot. BVP
</t>
    </r>
    <r>
      <rPr>
        <i/>
        <sz val="11"/>
        <color rgb="FF000000"/>
        <rFont val="Arial"/>
        <family val="2"/>
        <charset val="186"/>
      </rPr>
      <t>Semi-elasticity of the GG budget to the OG</t>
    </r>
  </si>
  <si>
    <t>ε</t>
  </si>
  <si>
    <r>
      <t xml:space="preserve">VSDF biudžeto semi-elastingumas pot. BVP
</t>
    </r>
    <r>
      <rPr>
        <i/>
        <sz val="11"/>
        <color rgb="FF000000"/>
        <rFont val="Arial"/>
        <family val="2"/>
        <charset val="186"/>
      </rPr>
      <t>Semi-elasticity of the SSIF budget to the OG</t>
    </r>
  </si>
  <si>
    <r>
      <t>ε</t>
    </r>
    <r>
      <rPr>
        <vertAlign val="subscript"/>
        <sz val="11"/>
        <color rgb="FF000000"/>
        <rFont val="Arial"/>
        <family val="2"/>
        <charset val="186"/>
      </rPr>
      <t>VSDF</t>
    </r>
  </si>
  <si>
    <r>
      <t xml:space="preserve">PSDF biudžeto semi-elastingumas pot. BVP
</t>
    </r>
    <r>
      <rPr>
        <i/>
        <sz val="11"/>
        <rFont val="Arial"/>
        <family val="2"/>
        <charset val="186"/>
      </rPr>
      <t>Semi-elasticity of the NHIF budget to the OG</t>
    </r>
  </si>
  <si>
    <r>
      <t>ε</t>
    </r>
    <r>
      <rPr>
        <vertAlign val="subscript"/>
        <sz val="11"/>
        <rFont val="Arial"/>
        <family val="2"/>
        <charset val="186"/>
      </rPr>
      <t>PSDF</t>
    </r>
  </si>
  <si>
    <t>Europos Komisija, Eurostatas, Lietuvos statistikos departamentas</t>
  </si>
  <si>
    <t>European Commission, Eurostat, Statistics Lithuania</t>
  </si>
  <si>
    <t>Finansų ministerija (FM)</t>
  </si>
  <si>
    <t>Ministry of Finance (MoF)</t>
  </si>
  <si>
    <t>Valstybės kontrolės, vykdančios fiskalinės institucijos funkcijas, skaičiavimai</t>
  </si>
  <si>
    <t>National Audit Office of Lithuania, implementing the functions of the fiscal institution, calculations</t>
  </si>
  <si>
    <t>ERS – ekonominės raidos scenarijus</t>
  </si>
  <si>
    <t>EDS – economic development scenario</t>
  </si>
  <si>
    <t>Dėmesio: langeliai su formulėmis, atnaujinami tik spalvoti langeliai</t>
  </si>
  <si>
    <t>Warning: cells with formulas, data inputs are marked with coloured cells</t>
  </si>
  <si>
    <t>Apvalinimo tikslumas</t>
  </si>
  <si>
    <t>3. VS fiskaliniai rodikliai 
GG fiscal indicators</t>
  </si>
  <si>
    <r>
      <t xml:space="preserve">Žymėjimas | Formulė    
</t>
    </r>
    <r>
      <rPr>
        <i/>
        <sz val="11"/>
        <color rgb="FF000000"/>
        <rFont val="Arial"/>
        <family val="2"/>
        <charset val="186"/>
      </rPr>
      <t xml:space="preserve">   Notation | Formula</t>
    </r>
  </si>
  <si>
    <r>
      <t xml:space="preserve">Matavimo vnt.
</t>
    </r>
    <r>
      <rPr>
        <i/>
        <sz val="11"/>
        <color rgb="FF000000"/>
        <rFont val="Arial"/>
        <family val="2"/>
        <charset val="186"/>
      </rPr>
      <t>Unit</t>
    </r>
  </si>
  <si>
    <r>
      <t xml:space="preserve">Nominalusis BVP
</t>
    </r>
    <r>
      <rPr>
        <i/>
        <sz val="11"/>
        <color rgb="FF000000"/>
        <rFont val="Arial"/>
        <family val="2"/>
        <charset val="186"/>
      </rPr>
      <t>Nominal GDP</t>
    </r>
  </si>
  <si>
    <t>mln. EUR</t>
  </si>
  <si>
    <r>
      <t xml:space="preserve">Grynasis skolinimas (+) / grynasis skolinimasis (-), iš jo
</t>
    </r>
    <r>
      <rPr>
        <i/>
        <sz val="11"/>
        <rFont val="Arial"/>
        <family val="2"/>
        <charset val="186"/>
      </rPr>
      <t>Net lending (+) / net borrowing (-), of which</t>
    </r>
  </si>
  <si>
    <t>B=VP–VI</t>
  </si>
  <si>
    <t>% BVP / GDP</t>
  </si>
  <si>
    <r>
      <t xml:space="preserve">Valstybinis socialinio draudimo fondas
</t>
    </r>
    <r>
      <rPr>
        <i/>
        <sz val="11"/>
        <rFont val="Arial"/>
        <family val="2"/>
        <charset val="186"/>
      </rPr>
      <t>State Social Insurance Fund</t>
    </r>
  </si>
  <si>
    <t>VSDF</t>
  </si>
  <si>
    <r>
      <t xml:space="preserve">Privalomojo sveikatos draudimo fondas
</t>
    </r>
    <r>
      <rPr>
        <i/>
        <sz val="11"/>
        <rFont val="Arial"/>
        <family val="2"/>
        <charset val="186"/>
      </rPr>
      <t>National Health Insurance Fund</t>
    </r>
  </si>
  <si>
    <t>PSDF</t>
  </si>
  <si>
    <r>
      <t xml:space="preserve">Visos pajamos
</t>
    </r>
    <r>
      <rPr>
        <i/>
        <sz val="11"/>
        <rFont val="Arial"/>
        <family val="2"/>
        <charset val="186"/>
      </rPr>
      <t>Total revenues</t>
    </r>
  </si>
  <si>
    <t>VP</t>
  </si>
  <si>
    <r>
      <t xml:space="preserve">Visos išlaidos, iš jų
</t>
    </r>
    <r>
      <rPr>
        <i/>
        <sz val="11"/>
        <rFont val="Arial"/>
        <family val="2"/>
        <charset val="186"/>
      </rPr>
      <t>Total expenditures, of which</t>
    </r>
  </si>
  <si>
    <t>VI</t>
  </si>
  <si>
    <t>SAF</t>
  </si>
  <si>
    <r>
      <t xml:space="preserve">Konsoliduotos išlaidos VS posektorių, kurių išlaidos &gt; 3 proc. BVP
</t>
    </r>
    <r>
      <rPr>
        <i/>
        <sz val="11"/>
        <rFont val="Arial"/>
        <family val="2"/>
        <charset val="186"/>
      </rPr>
      <t>Consolidated expenditure of GG subsectors with exp. &gt; 3 % of GDP</t>
    </r>
  </si>
  <si>
    <r>
      <t xml:space="preserve">Vienkartinės ir kitos laikinosios priemonės
</t>
    </r>
    <r>
      <rPr>
        <i/>
        <sz val="11"/>
        <rFont val="Arial"/>
        <family val="2"/>
        <charset val="186"/>
      </rPr>
      <t>One-off and temporary measures</t>
    </r>
  </si>
  <si>
    <t>1klp</t>
  </si>
  <si>
    <r>
      <t xml:space="preserve">Vienkartinės ir kitos laikinosios priemonės, VSDF
</t>
    </r>
    <r>
      <rPr>
        <i/>
        <sz val="11"/>
        <rFont val="Arial"/>
        <family val="2"/>
        <charset val="186"/>
      </rPr>
      <t>One-off and temporary measures, SSIF</t>
    </r>
  </si>
  <si>
    <r>
      <t>1klp</t>
    </r>
    <r>
      <rPr>
        <vertAlign val="subscript"/>
        <sz val="11"/>
        <rFont val="Arial"/>
        <family val="2"/>
        <charset val="186"/>
      </rPr>
      <t>VSDF</t>
    </r>
  </si>
  <si>
    <r>
      <t xml:space="preserve">Vienkartinės ir kitos laikinosios priemonės, PSDF
</t>
    </r>
    <r>
      <rPr>
        <i/>
        <sz val="11"/>
        <rFont val="Arial"/>
        <family val="2"/>
        <charset val="186"/>
      </rPr>
      <t>One-off and temporary measures, NHIF</t>
    </r>
  </si>
  <si>
    <r>
      <t>1klp</t>
    </r>
    <r>
      <rPr>
        <vertAlign val="subscript"/>
        <sz val="11"/>
        <rFont val="Arial"/>
        <family val="2"/>
        <charset val="186"/>
      </rPr>
      <t>PSDF</t>
    </r>
  </si>
  <si>
    <r>
      <t xml:space="preserve">Lankstumo galimybė dėl vykdomų struktūrinių reformų
</t>
    </r>
    <r>
      <rPr>
        <i/>
        <sz val="11"/>
        <rFont val="Arial"/>
        <family val="2"/>
        <charset val="186"/>
      </rPr>
      <t>Structural reform flexibility clause</t>
    </r>
  </si>
  <si>
    <t>SR</t>
  </si>
  <si>
    <r>
      <t xml:space="preserve">Struktūrinis VS balansas, neįtraukiant struktūrinių reformų
</t>
    </r>
    <r>
      <rPr>
        <i/>
        <sz val="11"/>
        <rFont val="Arial"/>
        <family val="2"/>
        <charset val="186"/>
      </rPr>
      <t>Structural GG balance, excluding structural reforms</t>
    </r>
  </si>
  <si>
    <t>SB = B–CB–1klp+SR</t>
  </si>
  <si>
    <r>
      <t xml:space="preserve">Struktūrinis VSDF balansas
</t>
    </r>
    <r>
      <rPr>
        <i/>
        <sz val="11"/>
        <rFont val="Arial"/>
        <family val="2"/>
        <charset val="186"/>
      </rPr>
      <t>Structural SSIF balance</t>
    </r>
  </si>
  <si>
    <t>SBVSDF = VSDF– CBVSDF–1klpVSDF</t>
  </si>
  <si>
    <r>
      <t xml:space="preserve">Struktūrinis PSDF balansas
</t>
    </r>
    <r>
      <rPr>
        <i/>
        <sz val="11"/>
        <rFont val="Arial"/>
        <family val="2"/>
        <charset val="186"/>
      </rPr>
      <t>Structural NHIF balance</t>
    </r>
  </si>
  <si>
    <t>SBPSDF = PSDF– CBPSDF–1klpPSDF</t>
  </si>
  <si>
    <r>
      <t xml:space="preserve">Vidutinio laikotarpio tikslas
</t>
    </r>
    <r>
      <rPr>
        <i/>
        <sz val="11"/>
        <rFont val="Arial"/>
        <family val="2"/>
        <charset val="186"/>
      </rPr>
      <t>Medium-term objective</t>
    </r>
  </si>
  <si>
    <t>VLT</t>
  </si>
  <si>
    <r>
      <t xml:space="preserve">Struktūrinio postūmio užduotis
</t>
    </r>
    <r>
      <rPr>
        <i/>
        <sz val="11"/>
        <rFont val="Arial"/>
        <family val="2"/>
        <charset val="186"/>
      </rPr>
      <t>Structural adjustment target</t>
    </r>
  </si>
  <si>
    <t>SPU</t>
  </si>
  <si>
    <t>Finansų ministerija, VSDF, PSDF</t>
  </si>
  <si>
    <t>Ministry of Finance, SSIF, NHIF</t>
  </si>
  <si>
    <t>Nr.
No.</t>
  </si>
  <si>
    <r>
      <t xml:space="preserve">Sąlyga
</t>
    </r>
    <r>
      <rPr>
        <i/>
        <sz val="11"/>
        <color rgb="FF000000"/>
        <rFont val="Arial"/>
        <family val="2"/>
        <charset val="186"/>
      </rPr>
      <t>Condition</t>
    </r>
  </si>
  <si>
    <r>
      <t xml:space="preserve">Formulė
</t>
    </r>
    <r>
      <rPr>
        <i/>
        <sz val="11"/>
        <color rgb="FF000000"/>
        <rFont val="Arial"/>
        <family val="2"/>
        <charset val="186"/>
      </rPr>
      <t>Formula</t>
    </r>
  </si>
  <si>
    <r>
      <t xml:space="preserve">Išvada
</t>
    </r>
    <r>
      <rPr>
        <i/>
        <sz val="11"/>
        <rFont val="Arial"/>
        <family val="2"/>
        <charset val="186"/>
      </rPr>
      <t>Conclusion</t>
    </r>
  </si>
  <si>
    <t>Institucija, kurios projekcijų pagrindu atliekama analizė
Institution, projections of which are used for the analysis</t>
  </si>
  <si>
    <t>Ar t metai yra išskirtinių aplinkybių metai?</t>
  </si>
  <si>
    <r>
      <t>S</t>
    </r>
    <r>
      <rPr>
        <vertAlign val="subscript"/>
        <sz val="11"/>
        <color rgb="FF000000"/>
        <rFont val="Arial"/>
        <family val="2"/>
        <charset val="186"/>
      </rPr>
      <t>1</t>
    </r>
  </si>
  <si>
    <t>VS yra faktiškai perteklinis t metais pagal struktūrinį balansą</t>
  </si>
  <si>
    <t>SB(t) &gt; 0*</t>
  </si>
  <si>
    <t xml:space="preserve">In terms of structural balance GG sector is actually in surplus   </t>
  </si>
  <si>
    <r>
      <t>S</t>
    </r>
    <r>
      <rPr>
        <vertAlign val="subscript"/>
        <sz val="11"/>
        <color rgb="FF000000"/>
        <rFont val="Arial"/>
        <family val="2"/>
        <charset val="186"/>
      </rPr>
      <t>2</t>
    </r>
    <r>
      <rPr>
        <sz val="11"/>
        <color theme="1"/>
        <rFont val="Calibri"/>
        <family val="2"/>
        <charset val="186"/>
        <scheme val="minor"/>
      </rPr>
      <t/>
    </r>
  </si>
  <si>
    <t>Faktinio struktūrinio VS balanso rodiklio absoliučioji vertė yra mažesnė negu VLT absoliučioji vertė ir kiekvienais metais mažėja, išskyrus metus, kai produkcijos atotrūkio nuo potencialo rodiklis yra neigiamas</t>
  </si>
  <si>
    <t>|SB(t)| &lt; |VLT| &amp; 
|SB(t)| &lt; |SB(t–1)| &amp;
AP(t) ≥ 0</t>
  </si>
  <si>
    <t>Actual structural GG sector balance indicator in absolute value is lower than MTO in absolute value and is annually decreasing, with the exception of the  year when the output gap is negative</t>
  </si>
  <si>
    <r>
      <t>S</t>
    </r>
    <r>
      <rPr>
        <vertAlign val="subscript"/>
        <sz val="11"/>
        <color rgb="FF000000"/>
        <rFont val="Arial"/>
        <family val="2"/>
        <charset val="186"/>
      </rPr>
      <t>3</t>
    </r>
    <r>
      <rPr>
        <sz val="11"/>
        <color theme="1"/>
        <rFont val="Calibri"/>
        <family val="2"/>
        <charset val="186"/>
        <scheme val="minor"/>
      </rPr>
      <t/>
    </r>
  </si>
  <si>
    <t>Faktinio struktūrinio VS balanso rodiklio absoliučioji vertė yra mažesnė negu VLT absoliučioji vertė tais metais, kai produkcijos atotrūkio nuo potencialo rodiklis yra neigiamas</t>
  </si>
  <si>
    <t>|SB(t)| &lt; |VLT| &amp;
AP(t) &lt; 0</t>
  </si>
  <si>
    <t>Actual structural GG sector balance indicator in absolute value is lower than the MTO in absolute value in the year when the output gap is negative</t>
  </si>
  <si>
    <r>
      <t>S</t>
    </r>
    <r>
      <rPr>
        <vertAlign val="subscript"/>
        <sz val="11"/>
        <color rgb="FF000000"/>
        <rFont val="Arial"/>
        <family val="2"/>
        <charset val="186"/>
      </rPr>
      <t>4</t>
    </r>
    <r>
      <rPr>
        <sz val="11"/>
        <color theme="1"/>
        <rFont val="Calibri"/>
        <family val="2"/>
        <charset val="186"/>
        <scheme val="minor"/>
      </rPr>
      <t/>
    </r>
  </si>
  <si>
    <t>Faktinio struktūrinio VS balanso rodiklio postūmio VLT link absoliučioji vertė yra ne mažesnė negu struktūrinio postūmio užduoties absoliučioji vertė</t>
  </si>
  <si>
    <t>SPU(t) &gt; 0 &amp;
SB(t) ≥ SB(t–1)+SPU(t)</t>
  </si>
  <si>
    <t>Actual structural GG sector balance indicator adjustment towards the MTO in absolute value is not lower than the structural adjustment target in absolute value.</t>
  </si>
  <si>
    <t>S</t>
  </si>
  <si>
    <r>
      <t>t metais, išskyrus metus, kuriais susidaro išskirtinės aplinkybės, turi būti tenkinama bent viena iš  S</t>
    </r>
    <r>
      <rPr>
        <b/>
        <vertAlign val="subscript"/>
        <sz val="11"/>
        <color rgb="FF00244D"/>
        <rFont val="Arial"/>
        <family val="2"/>
        <charset val="186"/>
      </rPr>
      <t>1</t>
    </r>
    <r>
      <rPr>
        <b/>
        <sz val="11"/>
        <color rgb="FF00244D"/>
        <rFont val="Arial"/>
        <family val="2"/>
        <charset val="186"/>
      </rPr>
      <t>–S</t>
    </r>
    <r>
      <rPr>
        <b/>
        <vertAlign val="subscript"/>
        <sz val="11"/>
        <color rgb="FF00244D"/>
        <rFont val="Arial"/>
        <family val="2"/>
        <charset val="186"/>
      </rPr>
      <t xml:space="preserve">4 </t>
    </r>
    <r>
      <rPr>
        <b/>
        <sz val="11"/>
        <color rgb="FF00244D"/>
        <rFont val="Arial"/>
        <family val="2"/>
        <charset val="186"/>
      </rPr>
      <t xml:space="preserve">sąlygų </t>
    </r>
  </si>
  <si>
    <t xml:space="preserve">At year t, with the exception of the year of exceptional circumstances, at least one of the S1–S4 conditions is satisfied </t>
  </si>
  <si>
    <t>* nelygybės ženklas yra griežtas, jei skirtumas tarp lyginamų pusių po apvalinimo sudaro bent 0,1, kitaip ženklas interpretuojamas kaip =</t>
  </si>
  <si>
    <t>* inequality sign is strict, if a difference between both compared sides after rounding is at least 0,1, else the sign is interpreted as =</t>
  </si>
  <si>
    <t>Šaltinis: KĮ 3 straipsnis 1 dalis</t>
  </si>
  <si>
    <t>Source: CL Article 3(1)</t>
  </si>
  <si>
    <t>t =</t>
  </si>
  <si>
    <t>SB(t) =</t>
  </si>
  <si>
    <t>SB(t–1) =</t>
  </si>
  <si>
    <t>VLT =</t>
  </si>
  <si>
    <t>AP(t) =</t>
  </si>
  <si>
    <t>SPU(t) =</t>
  </si>
  <si>
    <t>S1</t>
  </si>
  <si>
    <t>C1</t>
  </si>
  <si>
    <t>S2</t>
  </si>
  <si>
    <t>C2</t>
  </si>
  <si>
    <t>S3</t>
  </si>
  <si>
    <t>C3</t>
  </si>
  <si>
    <t>S4</t>
  </si>
  <si>
    <t>C4</t>
  </si>
  <si>
    <r>
      <t xml:space="preserve">Nr.
</t>
    </r>
    <r>
      <rPr>
        <i/>
        <sz val="11"/>
        <color rgb="FF000000"/>
        <rFont val="Arial"/>
        <family val="2"/>
        <charset val="186"/>
      </rPr>
      <t>No.</t>
    </r>
  </si>
  <si>
    <r>
      <t xml:space="preserve">VS išlaidų augimo ribojimo taisyklės netaikymo aplinkybės
</t>
    </r>
    <r>
      <rPr>
        <i/>
        <sz val="11"/>
        <color rgb="FF000000"/>
        <rFont val="Arial"/>
        <family val="2"/>
        <charset val="186"/>
      </rPr>
      <t>GG expenditure growh limiting rule application escape clause</t>
    </r>
    <r>
      <rPr>
        <sz val="11"/>
        <color rgb="FF000000"/>
        <rFont val="Arial"/>
        <family val="2"/>
        <charset val="186"/>
      </rPr>
      <t>s</t>
    </r>
  </si>
  <si>
    <r>
      <rPr>
        <sz val="11"/>
        <color rgb="FF000000"/>
        <rFont val="Arial"/>
        <family val="2"/>
        <charset val="186"/>
      </rPr>
      <t>A</t>
    </r>
    <r>
      <rPr>
        <vertAlign val="subscript"/>
        <sz val="11"/>
        <color rgb="FF000000"/>
        <rFont val="Arial"/>
        <family val="2"/>
        <charset val="186"/>
      </rPr>
      <t>1</t>
    </r>
  </si>
  <si>
    <t>Pagal 4 paskutinius metų ketvirčius apskaičiuotas Lietuvos BVP to meto kainomis augimas yra mažesnis negu daugiametis ES BVP to meto kainomis augimas, padidintas 2 procentiniais punktais</t>
  </si>
  <si>
    <t>Lithuanian GDP at current prices calculated on the basis of 4 last quarters of the year grows at a slower pace than the multi-annual growth of the GDP of the EU at current prices increased by 2 percentage points</t>
  </si>
  <si>
    <r>
      <rPr>
        <sz val="11"/>
        <color rgb="FF000000"/>
        <rFont val="Arial"/>
        <family val="2"/>
        <charset val="186"/>
      </rPr>
      <t>A</t>
    </r>
    <r>
      <rPr>
        <vertAlign val="subscript"/>
        <sz val="11"/>
        <color rgb="FF000000"/>
        <rFont val="Arial"/>
        <family val="2"/>
        <charset val="186"/>
      </rPr>
      <t>2</t>
    </r>
  </si>
  <si>
    <t>Numatomas VS balanso rodiklio postūmis yra teigiamas ir sudaro bent 1,0 procentinį punktą BVP</t>
  </si>
  <si>
    <t>Projected GG sector balance indicator adjustment is positive and makes up at least 1.0 percentage point of GDP</t>
  </si>
  <si>
    <r>
      <rPr>
        <sz val="11"/>
        <color rgb="FF000000"/>
        <rFont val="Arial"/>
        <family val="2"/>
        <charset val="186"/>
      </rPr>
      <t>A</t>
    </r>
    <r>
      <rPr>
        <vertAlign val="subscript"/>
        <sz val="11"/>
        <color rgb="FF000000"/>
        <rFont val="Arial"/>
        <family val="2"/>
        <charset val="186"/>
      </rPr>
      <t>3</t>
    </r>
  </si>
  <si>
    <t>Ne mažiau kaip penkerių iš eilės einančių metų VS balanso rodiklio aritmetinis vidurkis yra perteklius, ne mažesnis negu 0,1 procento BVP</t>
  </si>
  <si>
    <t>The arithmetic average of GG sector balance indicator of at least five successive years is in surplus, at least 0.1 % of GDP</t>
  </si>
  <si>
    <r>
      <rPr>
        <sz val="11"/>
        <color rgb="FF000000"/>
        <rFont val="Arial"/>
        <family val="2"/>
        <charset val="186"/>
      </rPr>
      <t>A</t>
    </r>
    <r>
      <rPr>
        <vertAlign val="subscript"/>
        <sz val="11"/>
        <color rgb="FF000000"/>
        <rFont val="Arial"/>
        <family val="2"/>
        <charset val="186"/>
      </rPr>
      <t>4</t>
    </r>
  </si>
  <si>
    <t>Keičiant einamųjų metų bet kurio iš VS priskiriamų biudžetų, kurių kiekvieno atskirai planuojami asignavimai viršija 3 procentus BVP to meto kainomis, pajamas ar išlaidas, pakeistas VS balansas nepablogės, palyginti su buvusiu prieš keitimą</t>
  </si>
  <si>
    <t>If planned current year GG sector budgets, the planned appropriations of each of which exceed 3 % of GDP at current prices, are subject to amendment,  the adjusted aggregate balances of the GG budgets is not worse than the one before the amendment</t>
  </si>
  <si>
    <r>
      <rPr>
        <sz val="11"/>
        <color rgb="FF000000"/>
        <rFont val="Arial"/>
        <family val="2"/>
        <charset val="186"/>
      </rPr>
      <t>A</t>
    </r>
    <r>
      <rPr>
        <vertAlign val="subscript"/>
        <sz val="11"/>
        <color rgb="FF000000"/>
        <rFont val="Arial"/>
        <family val="2"/>
        <charset val="186"/>
      </rPr>
      <t>5</t>
    </r>
  </si>
  <si>
    <t>Pagal Vyriausybės arba jos įgaliotos institucijos viešai paskelbtą ekonominės raidos scenarijų, dėl kurio tvirtinimo kontrolės institucija paskelbė išvadą, apskaičiuotas produkcijos atotrūkis nuo potencialo planuojamais metais yra neigiamas</t>
  </si>
  <si>
    <t>AP(t) &lt; 0</t>
  </si>
  <si>
    <t>The output gap for the planned year calculated on the basis of the economic development scenario, which is made public by the Government or its authorised institution and in regard to which the monitoring authority published its conclusion, is negative</t>
  </si>
  <si>
    <t>A</t>
  </si>
  <si>
    <r>
      <t>t metais, VS išlaidų augimo ribojimo taisyklė netaikoma, kai susidaro bent viena iš A</t>
    </r>
    <r>
      <rPr>
        <b/>
        <vertAlign val="subscript"/>
        <sz val="11"/>
        <color rgb="FF00244D"/>
        <rFont val="Arial"/>
        <family val="2"/>
        <charset val="186"/>
      </rPr>
      <t>1</t>
    </r>
    <r>
      <rPr>
        <b/>
        <sz val="11"/>
        <color rgb="FF00244D"/>
        <rFont val="Arial"/>
        <family val="2"/>
        <charset val="186"/>
      </rPr>
      <t>–A</t>
    </r>
    <r>
      <rPr>
        <b/>
        <vertAlign val="subscript"/>
        <sz val="11"/>
        <color rgb="FF00244D"/>
        <rFont val="Arial"/>
        <family val="2"/>
        <charset val="186"/>
      </rPr>
      <t>5</t>
    </r>
    <r>
      <rPr>
        <b/>
        <sz val="11"/>
        <color rgb="FF00244D"/>
        <rFont val="Arial"/>
        <family val="2"/>
        <charset val="186"/>
      </rPr>
      <t xml:space="preserve"> aplinkybių
</t>
    </r>
  </si>
  <si>
    <t>at year t the GG expenditure growth limiting rule is not applied when at least one of the  A1–A5 escape clauses emerges</t>
  </si>
  <si>
    <r>
      <t xml:space="preserve">Taisyklė
</t>
    </r>
    <r>
      <rPr>
        <i/>
        <sz val="11"/>
        <color rgb="FF000000"/>
        <rFont val="Arial"/>
        <family val="2"/>
        <charset val="186"/>
      </rPr>
      <t>Rule</t>
    </r>
  </si>
  <si>
    <r>
      <t xml:space="preserve">Formulė 
</t>
    </r>
    <r>
      <rPr>
        <i/>
        <sz val="11"/>
        <color rgb="FF000000"/>
        <rFont val="Arial"/>
        <family val="2"/>
        <charset val="186"/>
      </rPr>
      <t>Formula</t>
    </r>
  </si>
  <si>
    <r>
      <t>T</t>
    </r>
    <r>
      <rPr>
        <vertAlign val="subscript"/>
        <sz val="11"/>
        <color rgb="FF000000"/>
        <rFont val="Arial"/>
        <family val="2"/>
        <charset val="186"/>
      </rPr>
      <t>1</t>
    </r>
  </si>
  <si>
    <t>Jei / If</t>
  </si>
  <si>
    <t>* nelygybės ženklas yra griežtas, jei skirtumas tarp lyginamų pusių po apvalinimo sudaro bent 0,1, kitaip ženklas interpretuojamas kaip =
** einamaisiais metais keičiamas VS balansas</t>
  </si>
  <si>
    <t>AV3(t) =</t>
  </si>
  <si>
    <t>AV3(t–1) =</t>
  </si>
  <si>
    <t>ES(t) =</t>
  </si>
  <si>
    <t>ES(t–1) =</t>
  </si>
  <si>
    <t>VI(t) =</t>
  </si>
  <si>
    <t>VI(t–1) =</t>
  </si>
  <si>
    <t>B(t–1)–B(t–2) =</t>
  </si>
  <si>
    <t>BP(t–1)–BP(t–2) =</t>
  </si>
  <si>
    <t>P1(t)/P1(t–1) =</t>
  </si>
  <si>
    <t>P2(t)/P2(t–1) =</t>
  </si>
  <si>
    <t>P3(t)/P3(t–1) =</t>
  </si>
  <si>
    <t>P4(t)/P4(t–1) =</t>
  </si>
  <si>
    <t>ΔYN(t–1) =</t>
  </si>
  <si>
    <t>AP(t)  =</t>
  </si>
  <si>
    <t>AV3(t)–ES(t)=</t>
  </si>
  <si>
    <t>AV3(t–1)–ES(t–1)=</t>
  </si>
  <si>
    <t>(AV3(t)-ES(t))/(AV3(t-1)-ES(t-1))=</t>
  </si>
  <si>
    <r>
      <t>Y</t>
    </r>
    <r>
      <rPr>
        <vertAlign val="subscript"/>
        <sz val="11"/>
        <color rgb="FF000000"/>
        <rFont val="Arial"/>
        <family val="2"/>
        <charset val="186"/>
      </rPr>
      <t>np10t</t>
    </r>
  </si>
  <si>
    <t>Europos Komisija</t>
  </si>
  <si>
    <t>EK</t>
  </si>
  <si>
    <t>European Commission</t>
  </si>
  <si>
    <t>A1</t>
  </si>
  <si>
    <t>A2</t>
  </si>
  <si>
    <t>A3</t>
  </si>
  <si>
    <t>A4</t>
  </si>
  <si>
    <t>A5</t>
  </si>
  <si>
    <r>
      <t>T</t>
    </r>
    <r>
      <rPr>
        <vertAlign val="subscript"/>
        <sz val="11"/>
        <color rgb="FF000000"/>
        <rFont val="Arial"/>
        <family val="2"/>
        <charset val="186"/>
      </rPr>
      <t>31</t>
    </r>
  </si>
  <si>
    <t>Nuo 2018 m. sausio 1 d. kiekvienas j-asis vietos valdžios sektoriui priskiriamas biudžetas, kurio asignavimai viršija 0,3 procentą praėjusių metų BVP to meto kainomis, turi būti planuojamas, tvirtinamas, keičiamas ir vykdomas taip, kad, sprendžiant pagal to biudžeto struktūrinį balanso rodiklį, apskaičiuotą kaupiamuoju principu, jis būtų perteklinis arba subalansuotas</t>
  </si>
  <si>
    <r>
      <t>SB</t>
    </r>
    <r>
      <rPr>
        <vertAlign val="subscript"/>
        <sz val="11"/>
        <color rgb="FF000000"/>
        <rFont val="Arial"/>
        <family val="2"/>
        <charset val="186"/>
      </rPr>
      <t>j</t>
    </r>
    <r>
      <rPr>
        <sz val="11"/>
        <color rgb="FF000000"/>
        <rFont val="Arial"/>
        <family val="2"/>
        <charset val="186"/>
      </rPr>
      <t>(t) ≥ 0, ꓯj</t>
    </r>
  </si>
  <si>
    <t>From 1 January 2018 each j-th budget attributable to local government sector, planned appropriations of which exceeds 0.3 % of GDP in the preceding year at current prices, must be planned, approved, amended and implemented to be in surplus or balanced when judged by its structural balance indicator calculated on accrual basis</t>
  </si>
  <si>
    <r>
      <t xml:space="preserve">Taisyklė savivaldybių (j) asignavimams, kurie viršija 0,3 proc. BVP
</t>
    </r>
    <r>
      <rPr>
        <b/>
        <i/>
        <sz val="11"/>
        <color rgb="FF00244D"/>
        <rFont val="Arial"/>
        <family val="2"/>
        <charset val="186"/>
      </rPr>
      <t>Rule for local governments (j) appropriations of which exceed 0.3 % of GDP</t>
    </r>
  </si>
  <si>
    <r>
      <t>T</t>
    </r>
    <r>
      <rPr>
        <vertAlign val="subscript"/>
        <sz val="11"/>
        <color rgb="FF000000"/>
        <rFont val="Arial"/>
        <family val="2"/>
        <charset val="186"/>
      </rPr>
      <t>32</t>
    </r>
  </si>
  <si>
    <r>
      <t>SB</t>
    </r>
    <r>
      <rPr>
        <vertAlign val="subscript"/>
        <sz val="11"/>
        <rFont val="Arial"/>
        <family val="2"/>
        <charset val="186"/>
      </rPr>
      <t>PSDF</t>
    </r>
    <r>
      <rPr>
        <sz val="11"/>
        <rFont val="Arial"/>
        <family val="2"/>
        <charset val="186"/>
      </rPr>
      <t>(t) ≥ 0</t>
    </r>
  </si>
  <si>
    <t>From 1 January 2018 PSDF budget must be planned, approved, amended and implemented to be in surplus or balanced when judged by its structural balance indicator calculated on accrual basis</t>
  </si>
  <si>
    <t xml:space="preserve">Taisyklė PSDF struktūriniam biudžetui
</t>
  </si>
  <si>
    <t>Rule for PSDF structural budget</t>
  </si>
  <si>
    <r>
      <t>T</t>
    </r>
    <r>
      <rPr>
        <vertAlign val="subscript"/>
        <sz val="11"/>
        <color rgb="FF000000"/>
        <rFont val="Arial"/>
        <family val="2"/>
        <charset val="186"/>
      </rPr>
      <t>4</t>
    </r>
  </si>
  <si>
    <t>Nuo 2016 m. sausio 1 d. Lietuvos Respublikos atitinkamų metų VSDF biudžetas planuojamas, tvirtinamas, keičiamas ir vykdomas taip, kad jo struktūrinis deficitas, apskaičiuotas kaupiamuoju principu, galėtų didėti t metais, kuriems pagal Vyriausybės arba jos įgaliotos institucijos viešai paskelbtą ekonominės raidos scenarijų, dėl kurio tvirtinimo kontrolės institucija paskelbė savo išvadą, numatomas neigiamas produkcijos atotrūkis nuo potencialo</t>
  </si>
  <si>
    <t>AP(t) &lt; 0</t>
  </si>
  <si>
    <t>From 1 January 2016 budget of the VSDF of the Republic of Lithuania for a year t shall be planned, approved, amended and implemented in such a way that its structural deficit calculated on accrual basis could increase only in the year when a negative output gap is projected according to the economic development scenario which is made public by the Government of the Republic of Lithuania or its authorised institutions and in regard of which the monitoring authority published its conclusion</t>
  </si>
  <si>
    <r>
      <t>AP(t) ≥ 0 &amp;
(SB</t>
    </r>
    <r>
      <rPr>
        <vertAlign val="subscript"/>
        <sz val="11"/>
        <color rgb="FF000000"/>
        <rFont val="Arial"/>
        <family val="2"/>
        <charset val="186"/>
      </rPr>
      <t>VSDF</t>
    </r>
    <r>
      <rPr>
        <sz val="11"/>
        <color rgb="FF000000"/>
        <rFont val="Arial"/>
        <family val="2"/>
        <charset val="186"/>
      </rPr>
      <t>(t) ≥ SB</t>
    </r>
    <r>
      <rPr>
        <vertAlign val="subscript"/>
        <sz val="11"/>
        <color rgb="FF000000"/>
        <rFont val="Arial"/>
        <family val="2"/>
        <charset val="186"/>
      </rPr>
      <t>VSDF</t>
    </r>
    <r>
      <rPr>
        <sz val="11"/>
        <color rgb="FF000000"/>
        <rFont val="Arial"/>
        <family val="2"/>
        <charset val="186"/>
      </rPr>
      <t>(t–1) arba / or
 SB</t>
    </r>
    <r>
      <rPr>
        <vertAlign val="subscript"/>
        <sz val="11"/>
        <color rgb="FF000000"/>
        <rFont val="Arial"/>
        <family val="2"/>
        <charset val="186"/>
      </rPr>
      <t>VSDF</t>
    </r>
    <r>
      <rPr>
        <sz val="11"/>
        <color rgb="FF000000"/>
        <rFont val="Arial"/>
        <family val="2"/>
        <charset val="186"/>
      </rPr>
      <t>(t) ≥ 0)</t>
    </r>
  </si>
  <si>
    <r>
      <t>Taisyklė</t>
    </r>
    <r>
      <rPr>
        <b/>
        <sz val="11"/>
        <color rgb="FFFF0000"/>
        <rFont val="Arial"/>
        <family val="2"/>
        <charset val="186"/>
      </rPr>
      <t xml:space="preserve"> </t>
    </r>
    <r>
      <rPr>
        <b/>
        <sz val="11"/>
        <color rgb="FF00244D"/>
        <rFont val="Arial"/>
        <family val="2"/>
        <charset val="186"/>
      </rPr>
      <t>VSDF struktūriniam biudžetui</t>
    </r>
  </si>
  <si>
    <t>Rule for VSDF structural budget</t>
  </si>
  <si>
    <r>
      <t>T</t>
    </r>
    <r>
      <rPr>
        <vertAlign val="subscript"/>
        <sz val="11"/>
        <color rgb="FF000000"/>
        <rFont val="Arial"/>
        <family val="2"/>
        <charset val="186"/>
      </rPr>
      <t>5</t>
    </r>
  </si>
  <si>
    <t>Nuo 2016 m. sausio 1 d.  kiekvienas j-asis vietos valdžios sektoriui priskiriamas biudžetas, kurio asignavimai neviršija 0,3 procento praėjusių metų BVP to meto kainomis, turi būti planuojamas, tvirtinamas, keičiamas ir vykdomas taip, kad to biudžeto asignavimai neviršytų jo pajamų, išskyrus metus, kuriais pagal Vyriausybės arba jos įgaliotos institucijos viešai paskelbtą ekonominės raidos scenarijų, dėl kurio tvirtinimo kontrolės institucija paskelbė savo išvadą, numatomas neigiamas produkcijos atotrūkis nuo potencialo. Pastaruoju atveju asignavimai negali viršyti pajamų daugiau kaip 1,5 procento</t>
  </si>
  <si>
    <t>AP(t) ≥ 0 &amp; 
VIj(t)/VPj(t) ≤ 1</t>
  </si>
  <si>
    <t>From 1 January 2016 each j-th budget attributable to local government sector, planned appropriations of which does not exceed 0.3 % of GDP in the preceding year at current prices, shall be planned, approved, amended and implemented in such a way that the appropriations of the budget would not exceed its revenue, with the exception of the year when a negative output gap is projected according to the economic development scenario which is made public by the Government or its authorised institution and in regard to which the monitoring authority published its conclusion. In the latter case, the appropriations may not exceed revenue by more than 1.5 %</t>
  </si>
  <si>
    <t>AP(t) &lt; 0 &amp; 
VIj(t)/VPj(t) ≤ 1,015</t>
  </si>
  <si>
    <t>Šaltinis: KĮ 4 straipsnis</t>
  </si>
  <si>
    <t>Source: CL Article 4</t>
  </si>
  <si>
    <r>
      <t>SB</t>
    </r>
    <r>
      <rPr>
        <vertAlign val="subscript"/>
        <sz val="11"/>
        <color rgb="FF000000"/>
        <rFont val="Arial"/>
        <family val="2"/>
        <charset val="186"/>
      </rPr>
      <t>VSDF</t>
    </r>
    <r>
      <rPr>
        <sz val="11"/>
        <color rgb="FF000000"/>
        <rFont val="Arial"/>
        <family val="2"/>
        <charset val="186"/>
      </rPr>
      <t>(t) =</t>
    </r>
  </si>
  <si>
    <r>
      <t>SB</t>
    </r>
    <r>
      <rPr>
        <vertAlign val="subscript"/>
        <sz val="11"/>
        <color rgb="FF000000"/>
        <rFont val="Arial"/>
        <family val="2"/>
        <charset val="186"/>
      </rPr>
      <t>VSDF</t>
    </r>
    <r>
      <rPr>
        <sz val="11"/>
        <color rgb="FF000000"/>
        <rFont val="Arial"/>
        <family val="2"/>
        <charset val="186"/>
      </rPr>
      <t>(t–1) =</t>
    </r>
  </si>
  <si>
    <r>
      <t>SB</t>
    </r>
    <r>
      <rPr>
        <vertAlign val="subscript"/>
        <sz val="11"/>
        <color rgb="FF000000"/>
        <rFont val="Arial"/>
        <family val="2"/>
        <charset val="186"/>
      </rPr>
      <t>PSDF</t>
    </r>
    <r>
      <rPr>
        <sz val="11"/>
        <color rgb="FF000000"/>
        <rFont val="Arial"/>
        <family val="2"/>
        <charset val="186"/>
      </rPr>
      <t>(t) =</t>
    </r>
  </si>
  <si>
    <t>Source:</t>
  </si>
  <si>
    <r>
      <t xml:space="preserve">Fiskalinės sutarties įgyvendinimo konstituciniame įstatyme Nr. XII-1289 (toliau − KĮ) nustatytų fiskalinės drausmės taisyklių skaičiuoklė skirta skaidriai parodyti fiskalinės drausmės taisykles, pagal kurias priimami sprendimai. 1 dalis pateikia skaičiavimams reikalingų duomenų įvestis ir nurodo šių duomenų šaltinius. 2 dalyje nagrinėjamos trys taisyklių grupės: perteklinio valdžios sektoriaus (toliau − VS) taisyklė; VS išlaidų augimą ribojimo taisyklė ir VS priskiriamų biudžetų taisyklės.
</t>
    </r>
    <r>
      <rPr>
        <i/>
        <sz val="11"/>
        <color rgb="FF00244D"/>
        <rFont val="Arial"/>
        <family val="2"/>
        <charset val="186"/>
      </rPr>
      <t xml:space="preserve">Constitutional Law on the Implementation of the Fiscal Treaty Nr. XII-1289 (hereinafter − CL) defines fiscal discipline rules. The aim of this spreadsheet is to show the fiscal discipline rules, which are used for making decisions in a transparent way.  Part 1 provides required input data with their appropriate sources. In part 2 three groups of the fiscal rules are validated: general government (hereinafter − GG) surplus rule; GG sector expenditure growth limiting rule and rules for the budgets attributable to GG.   </t>
    </r>
  </si>
  <si>
    <r>
      <t>SUVESTINĖ /</t>
    </r>
    <r>
      <rPr>
        <i/>
        <sz val="12"/>
        <color rgb="FF00244D"/>
        <rFont val="Arial"/>
        <family val="2"/>
        <charset val="186"/>
      </rPr>
      <t xml:space="preserve"> </t>
    </r>
    <r>
      <rPr>
        <sz val="12"/>
        <color rgb="FF00244D"/>
        <rFont val="Arial"/>
        <family val="2"/>
        <charset val="186"/>
      </rPr>
      <t>SUMMARY</t>
    </r>
  </si>
  <si>
    <t>Nuo 2018 m. sausio 1 d. PSDF biudžetas turi būti planuojamas, tvirtinamas, keičiamas ir vykdomas taip, kad, sprendžiant pagal to biudžeto struktūrinį balanso rodiklį, apskaičiuotą kaupiamuoju principu, jis būtų perteklinis arba subalansuotas</t>
  </si>
  <si>
    <t>t−8</t>
  </si>
  <si>
    <t>t−7</t>
  </si>
  <si>
    <t>t−6</t>
  </si>
  <si>
    <t>t−5</t>
  </si>
  <si>
    <t>t−4</t>
  </si>
  <si>
    <t>t−3</t>
  </si>
  <si>
    <t>* inequality sign is strict, if a difference between both compared sides after rounding is at least 0.1,  else the sign is interpreted as =
** the adjusted aggregate balances of the GG budgets</t>
  </si>
  <si>
    <t>2021 m. pavasario EK projekcijos</t>
  </si>
  <si>
    <t>2021K1-2021K4</t>
  </si>
  <si>
    <t>Savivaldybių biudžetų atitiktis fiskalinės drausmės taisyklėms bus vertinama 2022 m. birželio mėn.</t>
  </si>
  <si>
    <t>Will be assessed in June 2022</t>
  </si>
  <si>
    <t>2022 m. pavasario ERS</t>
  </si>
  <si>
    <t>2021 m. žiemos ERS</t>
  </si>
  <si>
    <t>2021 m. rudens EK projekcijos</t>
  </si>
  <si>
    <t>B(t) =</t>
  </si>
  <si>
    <t>B(t) − B(t–1) ≥ 1</t>
  </si>
  <si>
    <r>
      <t xml:space="preserve">Vidutinė metinė SVKI infliacija
</t>
    </r>
    <r>
      <rPr>
        <i/>
        <sz val="11"/>
        <color rgb="FF000000"/>
        <rFont val="Arial"/>
        <family val="2"/>
        <charset val="186"/>
      </rPr>
      <t>Average annual HICP inflation</t>
    </r>
  </si>
  <si>
    <t xml:space="preserve">ΔSVKI(T)
</t>
  </si>
  <si>
    <r>
      <rPr>
        <sz val="11"/>
        <color rgb="FF000000"/>
        <rFont val="Arial"/>
        <family val="2"/>
        <charset val="186"/>
      </rPr>
      <t>A</t>
    </r>
    <r>
      <rPr>
        <vertAlign val="subscript"/>
        <sz val="11"/>
        <color rgb="FF000000"/>
        <rFont val="Arial"/>
        <family val="2"/>
        <charset val="186"/>
      </rPr>
      <t>2*</t>
    </r>
  </si>
  <si>
    <r>
      <rPr>
        <sz val="11"/>
        <color rgb="FF000000"/>
        <rFont val="Arial"/>
        <family val="2"/>
        <charset val="186"/>
      </rPr>
      <t>A</t>
    </r>
    <r>
      <rPr>
        <vertAlign val="subscript"/>
        <sz val="11"/>
        <color rgb="FF000000"/>
        <rFont val="Arial"/>
        <family val="2"/>
        <charset val="186"/>
      </rPr>
      <t>5*</t>
    </r>
  </si>
  <si>
    <t>A5, o prognozuojama vidutinė metinė infliacija, apskaičiuojama pagal suderintą vartotojų kainų indeksą, neviršija 3 procentų</t>
  </si>
  <si>
    <t>AP(t) &lt; 0 &amp; ΔSVKI(t) ≤ 3</t>
  </si>
  <si>
    <t>ΔSVKI(t) =</t>
  </si>
  <si>
    <t>B(t) − B(t–1) ≥ 1  &amp;
B(t–1)–B(t–2) ≥ 
BP(t–1)–BP(t–2)+0,5</t>
  </si>
  <si>
    <t>Pagal FDĮ panaši į T1 išlaidų ribojimo taisyklė turi būti pritaikyta visam konsoliduotam VS biudžetui (be Europos Sąjungos finansinės paramos lėšų)</t>
  </si>
  <si>
    <r>
      <t>T</t>
    </r>
    <r>
      <rPr>
        <vertAlign val="subscript"/>
        <sz val="11"/>
        <color rgb="FF000000"/>
        <rFont val="Arial"/>
        <family val="2"/>
        <charset val="186"/>
      </rPr>
      <t>2</t>
    </r>
  </si>
  <si>
    <t xml:space="preserve">According to FDL a similar to T1 GG consolidated budget's expenditure growth rule is applied (net of EU financial support) </t>
  </si>
  <si>
    <t>A5, and projected annual inflation, estimated by harmonised index of consumer prices is not greater that 3 %</t>
  </si>
  <si>
    <t>E2, when projected current year GG sector balance indicator positive adjustment is not greater than planned current year GG positive adjustment by more than 0.5 % of GDP at current prices</t>
  </si>
  <si>
    <t>Source: CL Article 3(3), rules denoted by * FDL Articles 2 and 3</t>
  </si>
  <si>
    <t>Šaltinis: KĮ 3 straipsnis 3 dalis, taisyklės pažymėtos * FDĮ 2-3 straipsniai</t>
  </si>
  <si>
    <r>
      <t>A</t>
    </r>
    <r>
      <rPr>
        <vertAlign val="subscript"/>
        <sz val="10"/>
        <rFont val="Arial"/>
        <family val="2"/>
        <charset val="186"/>
      </rPr>
      <t>2</t>
    </r>
    <r>
      <rPr>
        <sz val="10"/>
        <rFont val="Arial"/>
        <family val="2"/>
        <charset val="186"/>
      </rPr>
      <t>, kai numatomas einamųjų metų VS balanso rodiklio teigiamas postūmis nėra mažesnis už suplanuotą einamųjų kalendorinių metų VS balanso rodiklio teigiamą postūmį daugiau kaip 0,5 procentinio punkto BVP to meto kainomis</t>
    </r>
  </si>
  <si>
    <t xml:space="preserve">Metais t rengiant, tvirtinant ir keičiant VS priskiriamų biudžetų, kurių kiekvieno atskirai planuojami asignavimai viršija 3 proc. BVP to meto kainomis (VB, VSDF ir PSDF išlaidos), patvirtinimo įstatymų arba šių įstatymų pakeitimo įstatymų projektus, vadovaujamasi nuostata, kad tuo atveju, kai paskutinių penkerių pasibaigusių metų VS balanso rodiklių aritmetinis vidurkis yra neigiamas, šių biudžetų asignavimų (išskyrus ES finansinės paramos lėšas) visumos augimas turi būti ne didesnis negu 0,5 potencialaus BVP to meto kainomis daugiamečio augimo vidurkio
</t>
  </si>
  <si>
    <t>At year t the preparation, approval and amendment of draft laws or their draft amending laws on approval of the budgets attributable to the GG sector the planned appropriations of each of which exceed 3 % of GDP (state budget and social security funds' expenditure) at current prices shall rely on the provision that, in case where arithmetic average of GG sector balance indicators of the past five complete years is negative, the aggregate growth of the appropriations of these budgets (net of EU financial support) is not higher than 0.5 % of the average multi-annual growth rate of the potential GDP at current prices</t>
  </si>
  <si>
    <r>
      <t>Valstybės biudžetas, be pervedimų SAF
State budget</t>
    </r>
    <r>
      <rPr>
        <i/>
        <sz val="11"/>
        <rFont val="Arial"/>
        <family val="2"/>
        <charset val="186"/>
      </rPr>
      <t>, net of transfers to SSF</t>
    </r>
  </si>
  <si>
    <t>VB</t>
  </si>
  <si>
    <r>
      <t xml:space="preserve">Socialinės apsaugos fondai, be pervedimų VB
</t>
    </r>
    <r>
      <rPr>
        <i/>
        <sz val="11"/>
        <rFont val="Arial"/>
        <family val="2"/>
        <charset val="186"/>
      </rPr>
      <t>Social Security Funds, net of transfers to SB</t>
    </r>
  </si>
  <si>
    <t>AV3=VB+SAF</t>
  </si>
  <si>
    <t>B(t)** ≥ B(t)</t>
  </si>
  <si>
    <t>B**(t) =</t>
  </si>
  <si>
    <t>2022 m. gegužės 5 d. Nr. BPE–3</t>
  </si>
  <si>
    <t>2022 pavasario ERS duomenys</t>
  </si>
  <si>
    <r>
      <t>1. Fiskalinės drausmės taisyklių laikymosi suve</t>
    </r>
    <r>
      <rPr>
        <b/>
        <i/>
        <sz val="11"/>
        <color rgb="FF00244D"/>
        <rFont val="Arial"/>
        <family val="2"/>
        <charset val="186"/>
      </rPr>
      <t>stinė 2022 m.
Summary of the fulfilment of the fiscal discipline rules in year 2022</t>
    </r>
  </si>
  <si>
    <r>
      <rPr>
        <sz val="11"/>
        <rFont val="Arial"/>
        <family val="2"/>
        <charset val="186"/>
      </rPr>
      <t xml:space="preserve">2022 Projekcijos </t>
    </r>
    <r>
      <rPr>
        <i/>
        <sz val="11"/>
        <rFont val="Arial"/>
        <family val="2"/>
        <charset val="186"/>
      </rPr>
      <t xml:space="preserve">/ </t>
    </r>
    <r>
      <rPr>
        <sz val="11"/>
        <rFont val="Arial"/>
        <family val="2"/>
        <charset val="186"/>
      </rPr>
      <t>Projections</t>
    </r>
  </si>
  <si>
    <r>
      <t xml:space="preserve">5. VS išlaidų augimo ribojimo taisyklė
</t>
    </r>
    <r>
      <rPr>
        <b/>
        <i/>
        <sz val="11"/>
        <color rgb="FF00244D"/>
        <rFont val="Arial"/>
        <family val="2"/>
        <charset val="186"/>
      </rPr>
      <t>GG expenditure growth limiting rule</t>
    </r>
  </si>
  <si>
    <r>
      <t xml:space="preserve">6. VS priskiriamų biudžetų taisyklės
</t>
    </r>
    <r>
      <rPr>
        <b/>
        <i/>
        <sz val="11"/>
        <color rgb="FF00244D"/>
        <rFont val="Arial"/>
        <family val="2"/>
        <charset val="186"/>
      </rPr>
      <t>Rules for the budgets attributable to GG sector</t>
    </r>
  </si>
  <si>
    <r>
      <t xml:space="preserve">4. Perteklinio VS taisyklės sąlygos
</t>
    </r>
    <r>
      <rPr>
        <b/>
        <i/>
        <sz val="11"/>
        <color rgb="FF00244D"/>
        <rFont val="Arial"/>
        <family val="2"/>
        <charset val="186"/>
      </rPr>
      <t>Conditions of the surplus GG sector rule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</si>
</sst>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0.0;\ \–0.0"/>
    <numFmt numFmtId="165" formatCode="yyyy\-mm\-dd;@"/>
    <numFmt numFmtId="166" formatCode="0.0"/>
    <numFmt numFmtId="167" formatCode="0.00;\ \–0.00"/>
    <numFmt numFmtId="168" formatCode="0.000;\ \–0.000"/>
    <numFmt numFmtId="169" formatCode="0.000"/>
    <numFmt numFmtId="170" formatCode="#,##0.0"/>
    <numFmt numFmtId="171" formatCode="0\,0;\–0\,0"/>
    <numFmt numFmtId="172" formatCode="0.00000"/>
    <numFmt numFmtId="173" formatCode="0.0;\–0.0"/>
  </numFmts>
  <fonts count="52" x14ac:knownFonts="1">
    <font>
      <sz val="11"/>
      <color theme="1"/>
      <name val="Calibri"/>
      <family val="2"/>
      <charset val="186"/>
      <scheme val="minor"/>
    </font>
    <font>
      <sz val="11"/>
      <color theme="1"/>
      <name val="Calibri"/>
      <family val="2"/>
      <charset val="186"/>
      <scheme val="minor"/>
    </font>
    <font>
      <u/>
      <sz val="11"/>
      <color theme="10"/>
      <name val="Calibri"/>
      <family val="2"/>
      <charset val="186"/>
      <scheme val="minor"/>
    </font>
    <font>
      <sz val="11"/>
      <color rgb="FF000000"/>
      <name val="Arial"/>
      <family val="2"/>
      <charset val="186"/>
    </font>
    <font>
      <u/>
      <sz val="11"/>
      <color rgb="FF00244D"/>
      <name val="Arial"/>
      <family val="2"/>
      <charset val="186"/>
    </font>
    <font>
      <sz val="11"/>
      <color rgb="FFFFFFFF"/>
      <name val="Arial"/>
      <family val="2"/>
      <charset val="186"/>
    </font>
    <font>
      <b/>
      <sz val="11"/>
      <color rgb="FF00244D"/>
      <name val="Arial"/>
      <family val="2"/>
      <charset val="186"/>
    </font>
    <font>
      <b/>
      <sz val="11"/>
      <name val="Arial"/>
      <family val="2"/>
      <charset val="186"/>
    </font>
    <font>
      <sz val="11"/>
      <name val="Arial"/>
      <family val="2"/>
      <charset val="186"/>
    </font>
    <font>
      <sz val="10"/>
      <name val="Arial"/>
      <family val="2"/>
      <charset val="186"/>
    </font>
    <font>
      <sz val="10"/>
      <name val="Arial"/>
      <family val="2"/>
    </font>
    <font>
      <b/>
      <sz val="9"/>
      <color indexed="81"/>
      <name val="Tahoma"/>
      <family val="2"/>
      <charset val="186"/>
    </font>
    <font>
      <sz val="9"/>
      <color indexed="81"/>
      <name val="Tahoma"/>
      <family val="2"/>
      <charset val="186"/>
    </font>
    <font>
      <sz val="11"/>
      <color rgb="FF00244D"/>
      <name val="Arial"/>
      <family val="2"/>
      <charset val="186"/>
    </font>
    <font>
      <b/>
      <sz val="11"/>
      <color rgb="FF8D8473"/>
      <name val="Arial"/>
      <family val="2"/>
      <charset val="186"/>
    </font>
    <font>
      <vertAlign val="subscript"/>
      <sz val="11"/>
      <name val="Arial"/>
      <family val="2"/>
      <charset val="186"/>
    </font>
    <font>
      <sz val="11"/>
      <color rgb="FFFF0000"/>
      <name val="Arial"/>
      <family val="2"/>
      <charset val="186"/>
    </font>
    <font>
      <vertAlign val="subscript"/>
      <sz val="11"/>
      <color rgb="FF000000"/>
      <name val="Arial"/>
      <family val="2"/>
      <charset val="186"/>
    </font>
    <font>
      <sz val="10"/>
      <color rgb="FF8D8473"/>
      <name val="Arial"/>
      <family val="2"/>
      <charset val="186"/>
    </font>
    <font>
      <b/>
      <sz val="11"/>
      <color rgb="FF000000"/>
      <name val="Arial"/>
      <family val="2"/>
      <charset val="186"/>
    </font>
    <font>
      <b/>
      <sz val="8"/>
      <name val="Arial"/>
      <family val="2"/>
      <charset val="186"/>
    </font>
    <font>
      <sz val="10"/>
      <name val="Arial Baltic"/>
      <charset val="186"/>
    </font>
    <font>
      <b/>
      <sz val="9"/>
      <name val="Arial"/>
      <family val="2"/>
      <charset val="186"/>
    </font>
    <font>
      <sz val="8"/>
      <color rgb="FFFF0000"/>
      <name val="Arial"/>
      <family val="2"/>
      <charset val="186"/>
    </font>
    <font>
      <sz val="11"/>
      <color rgb="FF000000"/>
      <name val="Calibri"/>
      <family val="2"/>
      <charset val="186"/>
    </font>
    <font>
      <b/>
      <vertAlign val="subscript"/>
      <sz val="11"/>
      <color rgb="FF00244D"/>
      <name val="Arial"/>
      <family val="2"/>
      <charset val="186"/>
    </font>
    <font>
      <sz val="10"/>
      <color rgb="FF00244D"/>
      <name val="Arial"/>
      <family val="2"/>
      <charset val="186"/>
    </font>
    <font>
      <b/>
      <sz val="11"/>
      <color rgb="FFFF0000"/>
      <name val="Arial"/>
      <family val="2"/>
      <charset val="186"/>
    </font>
    <font>
      <sz val="11"/>
      <name val="Calibri Light"/>
      <family val="2"/>
      <charset val="186"/>
      <scheme val="major"/>
    </font>
    <font>
      <b/>
      <i/>
      <sz val="11"/>
      <color rgb="FF00244D"/>
      <name val="Arial"/>
      <family val="2"/>
      <charset val="186"/>
    </font>
    <font>
      <i/>
      <sz val="11"/>
      <color rgb="FF000000"/>
      <name val="Arial"/>
      <family val="2"/>
      <charset val="186"/>
    </font>
    <font>
      <i/>
      <sz val="11"/>
      <name val="Arial"/>
      <family val="2"/>
      <charset val="186"/>
    </font>
    <font>
      <i/>
      <sz val="10"/>
      <color rgb="FF00244D"/>
      <name val="Arial"/>
      <family val="2"/>
      <charset val="186"/>
    </font>
    <font>
      <b/>
      <i/>
      <sz val="11"/>
      <color rgb="FF000000"/>
      <name val="Arial"/>
      <family val="2"/>
      <charset val="186"/>
    </font>
    <font>
      <sz val="11"/>
      <color theme="0"/>
      <name val="Calibri Light"/>
      <family val="2"/>
      <charset val="186"/>
      <scheme val="major"/>
    </font>
    <font>
      <sz val="11"/>
      <color theme="0"/>
      <name val="Arial"/>
      <family val="2"/>
      <charset val="186"/>
    </font>
    <font>
      <sz val="11"/>
      <color theme="1"/>
      <name val="Arial"/>
      <family val="2"/>
      <charset val="186"/>
    </font>
    <font>
      <u/>
      <sz val="11"/>
      <color theme="10"/>
      <name val="Arial"/>
      <family val="2"/>
      <charset val="186"/>
    </font>
    <font>
      <sz val="12"/>
      <color rgb="FF00244D"/>
      <name val="Arial"/>
      <family val="2"/>
      <charset val="186"/>
    </font>
    <font>
      <sz val="11"/>
      <color rgb="FF535141"/>
      <name val="Arial"/>
      <family val="2"/>
      <charset val="186"/>
    </font>
    <font>
      <sz val="14"/>
      <color rgb="FF535141"/>
      <name val="Arial"/>
      <family val="2"/>
      <charset val="186"/>
    </font>
    <font>
      <i/>
      <sz val="11"/>
      <color rgb="FF00244D"/>
      <name val="Arial"/>
      <family val="2"/>
      <charset val="186"/>
    </font>
    <font>
      <i/>
      <sz val="12"/>
      <color rgb="FF00244D"/>
      <name val="Arial"/>
      <family val="2"/>
      <charset val="186"/>
    </font>
    <font>
      <sz val="14"/>
      <color rgb="FF00244D"/>
      <name val="Arial"/>
      <family val="2"/>
      <charset val="186"/>
    </font>
    <font>
      <i/>
      <u/>
      <sz val="11"/>
      <color rgb="FF00244D"/>
      <name val="Arial"/>
      <family val="2"/>
      <charset val="186"/>
    </font>
    <font>
      <sz val="11"/>
      <color theme="4"/>
      <name val="Arial"/>
      <family val="2"/>
      <charset val="186"/>
    </font>
    <font>
      <sz val="11"/>
      <color theme="1"/>
      <name val="Calibri"/>
      <family val="2"/>
      <scheme val="minor"/>
    </font>
    <font>
      <sz val="11"/>
      <name val="Arial"/>
      <charset val="238"/>
    </font>
    <font>
      <sz val="10"/>
      <color rgb="FF000000"/>
      <name val="Arial"/>
      <family val="2"/>
      <charset val="186"/>
    </font>
    <font>
      <i/>
      <sz val="10"/>
      <color rgb="FF000000"/>
      <name val="Arial"/>
      <family val="2"/>
      <charset val="186"/>
    </font>
    <font>
      <i/>
      <sz val="10"/>
      <name val="Arial"/>
      <family val="2"/>
      <charset val="186"/>
    </font>
    <font>
      <vertAlign val="subscript"/>
      <sz val="10"/>
      <name val="Arial"/>
      <family val="2"/>
      <charset val="186"/>
    </font>
  </fonts>
  <fills count="11">
    <fill>
      <patternFill patternType="none"/>
    </fill>
    <fill>
      <patternFill patternType="gray125"/>
    </fill>
    <fill>
      <patternFill patternType="solid">
        <fgColor rgb="FFC9D6D9"/>
        <bgColor indexed="64"/>
      </patternFill>
    </fill>
    <fill>
      <patternFill patternType="solid">
        <fgColor rgb="FFC9D6D9"/>
        <bgColor rgb="FF000000"/>
      </patternFill>
    </fill>
    <fill>
      <patternFill patternType="solid">
        <fgColor rgb="FFD1D1D1"/>
        <bgColor rgb="FF000000"/>
      </patternFill>
    </fill>
    <fill>
      <patternFill patternType="solid">
        <fgColor rgb="FFB5DDF0"/>
        <bgColor rgb="FF000000"/>
      </patternFill>
    </fill>
    <fill>
      <patternFill patternType="solid">
        <fgColor rgb="FFF39EA0"/>
        <bgColor rgb="FF000000"/>
      </patternFill>
    </fill>
    <fill>
      <patternFill patternType="solid">
        <fgColor rgb="FFFFFFFF"/>
        <bgColor rgb="FF000000"/>
      </patternFill>
    </fill>
    <fill>
      <patternFill patternType="solid">
        <fgColor theme="0"/>
        <bgColor indexed="64"/>
      </patternFill>
    </fill>
    <fill>
      <patternFill patternType="solid">
        <fgColor rgb="FF00244D"/>
        <bgColor indexed="64"/>
      </patternFill>
    </fill>
    <fill>
      <patternFill patternType="solid">
        <fgColor rgb="FFB5DDF0"/>
        <bgColor indexed="64"/>
      </patternFill>
    </fill>
  </fills>
  <borders count="51">
    <border>
      <left/>
      <right/>
      <top/>
      <bottom/>
      <diagonal/>
    </border>
    <border>
      <left style="medium">
        <color rgb="FF00244D"/>
      </left>
      <right style="medium">
        <color rgb="FF00244D"/>
      </right>
      <top style="medium">
        <color rgb="FF00244D"/>
      </top>
      <bottom style="medium">
        <color rgb="FF00244D"/>
      </bottom>
      <diagonal/>
    </border>
    <border>
      <left style="medium">
        <color rgb="FF00244D"/>
      </left>
      <right/>
      <top style="medium">
        <color rgb="FF00244D"/>
      </top>
      <bottom/>
      <diagonal/>
    </border>
    <border>
      <left/>
      <right/>
      <top style="medium">
        <color rgb="FF00244D"/>
      </top>
      <bottom/>
      <diagonal/>
    </border>
    <border>
      <left/>
      <right style="medium">
        <color rgb="FF00244D"/>
      </right>
      <top style="medium">
        <color rgb="FF00244D"/>
      </top>
      <bottom/>
      <diagonal/>
    </border>
    <border>
      <left style="medium">
        <color rgb="FF00244D"/>
      </left>
      <right/>
      <top/>
      <bottom/>
      <diagonal/>
    </border>
    <border>
      <left/>
      <right style="medium">
        <color rgb="FF00244D"/>
      </right>
      <top/>
      <bottom/>
      <diagonal/>
    </border>
    <border>
      <left style="medium">
        <color rgb="FF00244D"/>
      </left>
      <right/>
      <top/>
      <bottom style="medium">
        <color rgb="FF00244D"/>
      </bottom>
      <diagonal/>
    </border>
    <border>
      <left/>
      <right/>
      <top/>
      <bottom style="medium">
        <color rgb="FF00244D"/>
      </bottom>
      <diagonal/>
    </border>
    <border>
      <left/>
      <right style="medium">
        <color rgb="FF00244D"/>
      </right>
      <top/>
      <bottom style="medium">
        <color rgb="FF00244D"/>
      </bottom>
      <diagonal/>
    </border>
    <border>
      <left style="thick">
        <color rgb="FF00244D"/>
      </left>
      <right style="medium">
        <color rgb="FF00244D"/>
      </right>
      <top style="thick">
        <color rgb="FF00244D"/>
      </top>
      <bottom style="medium">
        <color rgb="FF00244D"/>
      </bottom>
      <diagonal/>
    </border>
    <border>
      <left style="medium">
        <color rgb="FF00244D"/>
      </left>
      <right style="medium">
        <color rgb="FF00244D"/>
      </right>
      <top style="thick">
        <color rgb="FF00244D"/>
      </top>
      <bottom style="medium">
        <color rgb="FF00244D"/>
      </bottom>
      <diagonal/>
    </border>
    <border>
      <left style="medium">
        <color rgb="FF00244D"/>
      </left>
      <right style="thick">
        <color rgb="FF00244D"/>
      </right>
      <top style="thick">
        <color rgb="FF00244D"/>
      </top>
      <bottom style="medium">
        <color rgb="FF00244D"/>
      </bottom>
      <diagonal/>
    </border>
    <border>
      <left style="thick">
        <color rgb="FF00244D"/>
      </left>
      <right style="medium">
        <color rgb="FF00244D"/>
      </right>
      <top style="medium">
        <color rgb="FF00244D"/>
      </top>
      <bottom style="medium">
        <color rgb="FF00244D"/>
      </bottom>
      <diagonal/>
    </border>
    <border>
      <left style="medium">
        <color rgb="FF00244D"/>
      </left>
      <right style="thick">
        <color rgb="FF00244D"/>
      </right>
      <top style="medium">
        <color rgb="FF00244D"/>
      </top>
      <bottom style="medium">
        <color rgb="FF00244D"/>
      </bottom>
      <diagonal/>
    </border>
    <border>
      <left style="medium">
        <color rgb="FF00244D"/>
      </left>
      <right style="medium">
        <color rgb="FF00244D"/>
      </right>
      <top style="medium">
        <color rgb="FF00244D"/>
      </top>
      <bottom/>
      <diagonal/>
    </border>
    <border>
      <left style="medium">
        <color rgb="FF00244D"/>
      </left>
      <right style="thick">
        <color rgb="FF00244D"/>
      </right>
      <top style="medium">
        <color rgb="FF00244D"/>
      </top>
      <bottom/>
      <diagonal/>
    </border>
    <border>
      <left style="medium">
        <color rgb="FF00244D"/>
      </left>
      <right style="medium">
        <color rgb="FF00244D"/>
      </right>
      <top/>
      <bottom style="medium">
        <color rgb="FF00244D"/>
      </bottom>
      <diagonal/>
    </border>
    <border>
      <left style="medium">
        <color rgb="FF00244D"/>
      </left>
      <right style="thick">
        <color rgb="FF00244D"/>
      </right>
      <top/>
      <bottom style="medium">
        <color rgb="FF00244D"/>
      </bottom>
      <diagonal/>
    </border>
    <border>
      <left style="thick">
        <color rgb="FF00244D"/>
      </left>
      <right style="medium">
        <color rgb="FF00244D"/>
      </right>
      <top style="medium">
        <color rgb="FF00244D"/>
      </top>
      <bottom/>
      <diagonal/>
    </border>
    <border>
      <left style="thick">
        <color rgb="FF00244D"/>
      </left>
      <right style="medium">
        <color rgb="FF00244D"/>
      </right>
      <top/>
      <bottom style="medium">
        <color rgb="FF00244D"/>
      </bottom>
      <diagonal/>
    </border>
    <border>
      <left style="thick">
        <color rgb="FF00244D"/>
      </left>
      <right style="medium">
        <color rgb="FF00244D"/>
      </right>
      <top style="medium">
        <color rgb="FF00244D"/>
      </top>
      <bottom style="thick">
        <color rgb="FF00244D"/>
      </bottom>
      <diagonal/>
    </border>
    <border>
      <left style="medium">
        <color rgb="FF00244D"/>
      </left>
      <right/>
      <top style="medium">
        <color rgb="FF00244D"/>
      </top>
      <bottom style="medium">
        <color rgb="FF00244D"/>
      </bottom>
      <diagonal/>
    </border>
    <border>
      <left/>
      <right style="medium">
        <color rgb="FF00244D"/>
      </right>
      <top style="medium">
        <color rgb="FF00244D"/>
      </top>
      <bottom style="medium">
        <color rgb="FF00244D"/>
      </bottom>
      <diagonal/>
    </border>
    <border>
      <left/>
      <right/>
      <top style="medium">
        <color indexed="64"/>
      </top>
      <bottom style="medium">
        <color rgb="FF00244D"/>
      </bottom>
      <diagonal/>
    </border>
    <border>
      <left/>
      <right/>
      <top style="medium">
        <color rgb="FF00244D"/>
      </top>
      <bottom style="medium">
        <color rgb="FF00244D"/>
      </bottom>
      <diagonal/>
    </border>
    <border>
      <left style="medium">
        <color rgb="FF00244D"/>
      </left>
      <right style="medium">
        <color rgb="FF00244D"/>
      </right>
      <top/>
      <bottom style="thick">
        <color rgb="FF00244D"/>
      </bottom>
      <diagonal/>
    </border>
    <border>
      <left style="medium">
        <color rgb="FF00244D"/>
      </left>
      <right style="thick">
        <color rgb="FF00244D"/>
      </right>
      <top/>
      <bottom style="thick">
        <color rgb="FF00244D"/>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bottom/>
      <diagonal/>
    </border>
    <border>
      <left/>
      <right style="medium">
        <color indexed="64"/>
      </right>
      <top style="medium">
        <color indexed="64"/>
      </top>
      <bottom style="medium">
        <color indexed="64"/>
      </bottom>
      <diagonal/>
    </border>
    <border>
      <left style="medium">
        <color rgb="FF00244D"/>
      </left>
      <right style="medium">
        <color rgb="FF8D8473"/>
      </right>
      <top style="medium">
        <color rgb="FF00244D"/>
      </top>
      <bottom style="medium">
        <color rgb="FF00244D"/>
      </bottom>
      <diagonal/>
    </border>
    <border>
      <left style="medium">
        <color rgb="FF8D8473"/>
      </left>
      <right style="medium">
        <color rgb="FF00244D"/>
      </right>
      <top style="medium">
        <color rgb="FF00244D"/>
      </top>
      <bottom style="medium">
        <color rgb="FF00244D"/>
      </bottom>
      <diagonal/>
    </border>
    <border>
      <left/>
      <right style="thick">
        <color rgb="FF00244D"/>
      </right>
      <top style="medium">
        <color rgb="FF00244D"/>
      </top>
      <bottom style="medium">
        <color rgb="FF00244D"/>
      </bottom>
      <diagonal/>
    </border>
    <border>
      <left style="medium">
        <color rgb="FF00244D"/>
      </left>
      <right style="medium">
        <color rgb="FF00244D"/>
      </right>
      <top/>
      <bottom/>
      <diagonal/>
    </border>
    <border>
      <left style="thick">
        <color rgb="FF00244D"/>
      </left>
      <right style="medium">
        <color rgb="FF00244D"/>
      </right>
      <top/>
      <bottom/>
      <diagonal/>
    </border>
    <border>
      <left style="medium">
        <color rgb="FF00244D"/>
      </left>
      <right style="thick">
        <color rgb="FF00244D"/>
      </right>
      <top/>
      <bottom/>
      <diagonal/>
    </border>
    <border>
      <left/>
      <right style="thick">
        <color rgb="FF00244D"/>
      </right>
      <top style="medium">
        <color rgb="FF00244D"/>
      </top>
      <bottom/>
      <diagonal/>
    </border>
    <border>
      <left/>
      <right style="thick">
        <color rgb="FF00244D"/>
      </right>
      <top/>
      <bottom/>
      <diagonal/>
    </border>
    <border>
      <left/>
      <right style="thick">
        <color rgb="FF00244D"/>
      </right>
      <top/>
      <bottom style="medium">
        <color rgb="FF00244D"/>
      </bottom>
      <diagonal/>
    </border>
    <border>
      <left style="thick">
        <color rgb="FF00244D"/>
      </left>
      <right style="medium">
        <color rgb="FF00244D"/>
      </right>
      <top/>
      <bottom style="thick">
        <color rgb="FF00244D"/>
      </bottom>
      <diagonal/>
    </border>
    <border>
      <left style="medium">
        <color rgb="FF00244D"/>
      </left>
      <right/>
      <top/>
      <bottom style="thick">
        <color rgb="FF00244D"/>
      </bottom>
      <diagonal/>
    </border>
    <border>
      <left/>
      <right/>
      <top/>
      <bottom style="thin">
        <color rgb="FF00244D"/>
      </bottom>
      <diagonal/>
    </border>
    <border>
      <left/>
      <right/>
      <top style="thick">
        <color rgb="FF00244D"/>
      </top>
      <bottom/>
      <diagonal/>
    </border>
    <border>
      <left style="medium">
        <color indexed="64"/>
      </left>
      <right/>
      <top style="medium">
        <color indexed="64"/>
      </top>
      <bottom style="medium">
        <color rgb="FF00244D"/>
      </bottom>
      <diagonal/>
    </border>
    <border>
      <left/>
      <right style="medium">
        <color indexed="64"/>
      </right>
      <top style="medium">
        <color indexed="64"/>
      </top>
      <bottom style="medium">
        <color rgb="FF00244D"/>
      </bottom>
      <diagonal/>
    </border>
    <border>
      <left style="thick">
        <color rgb="FF00244D"/>
      </left>
      <right/>
      <top style="medium">
        <color rgb="FF00244D"/>
      </top>
      <bottom style="medium">
        <color rgb="FF00244D"/>
      </bottom>
      <diagonal/>
    </border>
    <border>
      <left style="medium">
        <color indexed="64"/>
      </left>
      <right/>
      <top style="medium">
        <color rgb="FF00244D"/>
      </top>
      <bottom style="medium">
        <color indexed="64"/>
      </bottom>
      <diagonal/>
    </border>
    <border>
      <left/>
      <right style="medium">
        <color indexed="64"/>
      </right>
      <top style="medium">
        <color rgb="FF00244D"/>
      </top>
      <bottom style="medium">
        <color indexed="64"/>
      </bottom>
      <diagonal/>
    </border>
    <border>
      <left style="medium">
        <color indexed="64"/>
      </left>
      <right style="medium">
        <color indexed="64"/>
      </right>
      <top style="medium">
        <color indexed="64"/>
      </top>
      <bottom/>
      <diagonal/>
    </border>
  </borders>
  <cellStyleXfs count="9">
    <xf numFmtId="0" fontId="0" fillId="0" borderId="0"/>
    <xf numFmtId="0" fontId="2" fillId="0" borderId="0" applyNumberFormat="0" applyFill="0" applyBorder="0" applyAlignment="0" applyProtection="0"/>
    <xf numFmtId="0" fontId="9" fillId="0" borderId="0"/>
    <xf numFmtId="0" fontId="10" fillId="0" borderId="0"/>
    <xf numFmtId="0" fontId="1" fillId="0" borderId="0"/>
    <xf numFmtId="0" fontId="1" fillId="0" borderId="0"/>
    <xf numFmtId="0" fontId="21" fillId="0" borderId="0"/>
    <xf numFmtId="0" fontId="46" fillId="0" borderId="0"/>
    <xf numFmtId="0" fontId="47" fillId="0" borderId="0"/>
  </cellStyleXfs>
  <cellXfs count="487">
    <xf numFmtId="0" fontId="0" fillId="0" borderId="0" xfId="0"/>
    <xf numFmtId="0" fontId="3" fillId="0" borderId="0" xfId="0" applyFont="1" applyFill="1" applyBorder="1"/>
    <xf numFmtId="0" fontId="4" fillId="0" borderId="0" xfId="1" applyFont="1" applyFill="1" applyBorder="1" applyAlignment="1" applyProtection="1"/>
    <xf numFmtId="0" fontId="4" fillId="0" borderId="0" xfId="1" applyFont="1" applyFill="1" applyBorder="1" applyAlignment="1" applyProtection="1">
      <alignment horizontal="left"/>
    </xf>
    <xf numFmtId="0" fontId="5" fillId="0" borderId="0" xfId="1" applyFont="1" applyFill="1" applyBorder="1" applyAlignment="1" applyProtection="1"/>
    <xf numFmtId="0" fontId="3" fillId="0" borderId="0" xfId="0" applyFont="1" applyFill="1" applyBorder="1" applyAlignment="1">
      <alignment wrapText="1"/>
    </xf>
    <xf numFmtId="0" fontId="8" fillId="0" borderId="13" xfId="0" applyFont="1" applyFill="1" applyBorder="1" applyAlignment="1">
      <alignment horizontal="right" wrapText="1" indent="1"/>
    </xf>
    <xf numFmtId="0" fontId="8" fillId="5" borderId="14" xfId="0" applyFont="1" applyFill="1" applyBorder="1" applyAlignment="1">
      <alignment horizontal="center" vertical="center"/>
    </xf>
    <xf numFmtId="0" fontId="3" fillId="4" borderId="15" xfId="0" applyFont="1" applyFill="1" applyBorder="1" applyAlignment="1">
      <alignment horizontal="center" vertical="top" wrapText="1"/>
    </xf>
    <xf numFmtId="0" fontId="3" fillId="4" borderId="1" xfId="0" applyFont="1" applyFill="1" applyBorder="1" applyAlignment="1">
      <alignment horizontal="center" vertical="center" wrapText="1"/>
    </xf>
    <xf numFmtId="0" fontId="3" fillId="0" borderId="0" xfId="0" applyFont="1" applyFill="1" applyBorder="1" applyAlignment="1">
      <alignment horizontal="right" indent="1"/>
    </xf>
    <xf numFmtId="0" fontId="3" fillId="0" borderId="0" xfId="0" applyFont="1" applyFill="1" applyBorder="1" applyAlignment="1">
      <alignment horizontal="right" wrapText="1" indent="1"/>
    </xf>
    <xf numFmtId="0" fontId="5" fillId="0" borderId="0" xfId="0" applyFont="1" applyFill="1" applyBorder="1"/>
    <xf numFmtId="0" fontId="13" fillId="0" borderId="0" xfId="0" applyFont="1" applyFill="1" applyBorder="1"/>
    <xf numFmtId="0" fontId="8" fillId="0" borderId="1" xfId="0" applyFont="1" applyFill="1" applyBorder="1" applyAlignment="1">
      <alignment horizontal="center" vertical="center"/>
    </xf>
    <xf numFmtId="164" fontId="8" fillId="0" borderId="1" xfId="0" applyNumberFormat="1" applyFont="1" applyFill="1" applyBorder="1" applyAlignment="1">
      <alignment horizontal="center" vertical="center"/>
    </xf>
    <xf numFmtId="165" fontId="8" fillId="0" borderId="1" xfId="0" applyNumberFormat="1" applyFont="1" applyFill="1" applyBorder="1" applyAlignment="1">
      <alignment horizontal="center" vertical="center"/>
    </xf>
    <xf numFmtId="164" fontId="8" fillId="6" borderId="1" xfId="0" applyNumberFormat="1" applyFont="1" applyFill="1" applyBorder="1" applyAlignment="1">
      <alignment horizontal="right" vertical="center" indent="1"/>
    </xf>
    <xf numFmtId="164" fontId="8" fillId="7" borderId="1" xfId="0" applyNumberFormat="1" applyFont="1" applyFill="1" applyBorder="1" applyAlignment="1">
      <alignment horizontal="right" vertical="center" indent="1"/>
    </xf>
    <xf numFmtId="164" fontId="8" fillId="0" borderId="1" xfId="0" applyNumberFormat="1" applyFont="1" applyFill="1" applyBorder="1" applyAlignment="1">
      <alignment horizontal="right" vertical="center" indent="1"/>
    </xf>
    <xf numFmtId="164" fontId="3" fillId="7" borderId="1" xfId="0" applyNumberFormat="1" applyFont="1" applyFill="1" applyBorder="1" applyAlignment="1">
      <alignment horizontal="right" vertical="center" indent="1"/>
    </xf>
    <xf numFmtId="164" fontId="8" fillId="5" borderId="1" xfId="0" applyNumberFormat="1" applyFont="1" applyFill="1" applyBorder="1" applyAlignment="1">
      <alignment horizontal="right" vertical="center" indent="1"/>
    </xf>
    <xf numFmtId="164" fontId="8" fillId="4" borderId="1" xfId="0" applyNumberFormat="1" applyFont="1" applyFill="1" applyBorder="1" applyAlignment="1">
      <alignment horizontal="right" vertical="center" indent="1"/>
    </xf>
    <xf numFmtId="0" fontId="8" fillId="0" borderId="0" xfId="0" applyFont="1" applyFill="1" applyBorder="1"/>
    <xf numFmtId="166" fontId="3" fillId="0" borderId="0" xfId="0" applyNumberFormat="1" applyFont="1" applyFill="1" applyBorder="1"/>
    <xf numFmtId="0" fontId="16" fillId="0" borderId="0" xfId="0" applyFont="1" applyFill="1" applyBorder="1"/>
    <xf numFmtId="164" fontId="3" fillId="0" borderId="0" xfId="0" applyNumberFormat="1" applyFont="1" applyFill="1" applyBorder="1"/>
    <xf numFmtId="168" fontId="8" fillId="6" borderId="1" xfId="0" applyNumberFormat="1" applyFont="1" applyFill="1" applyBorder="1" applyAlignment="1">
      <alignment horizontal="right" vertical="center" indent="1"/>
    </xf>
    <xf numFmtId="164" fontId="16" fillId="7" borderId="1" xfId="0" applyNumberFormat="1" applyFont="1" applyFill="1" applyBorder="1" applyAlignment="1">
      <alignment horizontal="right" vertical="center" indent="1"/>
    </xf>
    <xf numFmtId="0" fontId="18" fillId="0" borderId="0" xfId="0" applyFont="1" applyFill="1" applyBorder="1"/>
    <xf numFmtId="0" fontId="3" fillId="6" borderId="1" xfId="0" applyFont="1" applyFill="1" applyBorder="1"/>
    <xf numFmtId="0" fontId="3" fillId="4" borderId="1" xfId="0" applyFont="1" applyFill="1" applyBorder="1"/>
    <xf numFmtId="0" fontId="3" fillId="5" borderId="1" xfId="0" applyFont="1" applyFill="1" applyBorder="1"/>
    <xf numFmtId="0" fontId="19" fillId="0" borderId="0" xfId="0" applyFont="1" applyFill="1" applyBorder="1" applyAlignment="1">
      <alignment horizontal="right" indent="1"/>
    </xf>
    <xf numFmtId="0" fontId="3" fillId="0" borderId="1" xfId="0" applyFont="1" applyFill="1" applyBorder="1"/>
    <xf numFmtId="166" fontId="20" fillId="0" borderId="0" xfId="0" applyNumberFormat="1" applyFont="1" applyFill="1" applyBorder="1" applyAlignment="1">
      <alignment horizontal="center"/>
    </xf>
    <xf numFmtId="0" fontId="5" fillId="0" borderId="0" xfId="0" applyFont="1" applyFill="1" applyBorder="1" applyAlignment="1">
      <alignment horizontal="right" indent="1"/>
    </xf>
    <xf numFmtId="2" fontId="5" fillId="0" borderId="0" xfId="0" applyNumberFormat="1" applyFont="1" applyFill="1" applyBorder="1" applyAlignment="1">
      <alignment horizontal="center"/>
    </xf>
    <xf numFmtId="169" fontId="3" fillId="0" borderId="0" xfId="0" applyNumberFormat="1" applyFont="1" applyFill="1" applyBorder="1"/>
    <xf numFmtId="164" fontId="8" fillId="0" borderId="1" xfId="0" applyNumberFormat="1" applyFont="1" applyFill="1" applyBorder="1" applyAlignment="1">
      <alignment horizontal="right" vertical="center" wrapText="1" indent="1"/>
    </xf>
    <xf numFmtId="170" fontId="22" fillId="0" borderId="0" xfId="4" applyNumberFormat="1" applyFont="1" applyFill="1" applyBorder="1" applyAlignment="1">
      <alignment horizontal="right"/>
    </xf>
    <xf numFmtId="0" fontId="3" fillId="0" borderId="0" xfId="0" applyFont="1" applyFill="1" applyBorder="1" applyAlignment="1">
      <alignment vertical="center"/>
    </xf>
    <xf numFmtId="0" fontId="7" fillId="7" borderId="0" xfId="0" applyFont="1" applyFill="1" applyBorder="1" applyAlignment="1">
      <alignment horizontal="center" vertical="center"/>
    </xf>
    <xf numFmtId="166" fontId="3" fillId="0" borderId="0" xfId="0" applyNumberFormat="1" applyFont="1" applyFill="1" applyBorder="1" applyAlignment="1">
      <alignment horizontal="right" indent="1"/>
    </xf>
    <xf numFmtId="0" fontId="8" fillId="7" borderId="0" xfId="0" applyFont="1" applyFill="1" applyBorder="1"/>
    <xf numFmtId="2" fontId="3" fillId="0" borderId="0" xfId="0" applyNumberFormat="1" applyFont="1" applyFill="1" applyBorder="1"/>
    <xf numFmtId="169" fontId="3" fillId="5" borderId="16" xfId="0" applyNumberFormat="1" applyFont="1" applyFill="1" applyBorder="1" applyAlignment="1">
      <alignment horizontal="center" vertical="center"/>
    </xf>
    <xf numFmtId="171" fontId="3" fillId="0" borderId="0" xfId="0" applyNumberFormat="1" applyFont="1" applyFill="1" applyBorder="1"/>
    <xf numFmtId="0" fontId="23" fillId="0" borderId="0" xfId="0" applyFont="1" applyFill="1" applyBorder="1"/>
    <xf numFmtId="0" fontId="24" fillId="0" borderId="0" xfId="0" applyFont="1" applyFill="1" applyBorder="1" applyAlignment="1">
      <alignment vertical="center"/>
    </xf>
    <xf numFmtId="0" fontId="6" fillId="4" borderId="15" xfId="0" applyFont="1" applyFill="1" applyBorder="1" applyAlignment="1">
      <alignment horizontal="center" vertical="center"/>
    </xf>
    <xf numFmtId="0" fontId="6" fillId="5" borderId="16" xfId="0" applyFont="1" applyFill="1" applyBorder="1" applyAlignment="1">
      <alignment horizontal="center" vertical="center"/>
    </xf>
    <xf numFmtId="0" fontId="6" fillId="4" borderId="26" xfId="0" applyFont="1" applyFill="1" applyBorder="1" applyAlignment="1">
      <alignment horizontal="center" vertical="center" wrapText="1"/>
    </xf>
    <xf numFmtId="0" fontId="26" fillId="0" borderId="0" xfId="0" applyFont="1" applyFill="1" applyBorder="1"/>
    <xf numFmtId="0" fontId="3" fillId="0" borderId="0" xfId="0" applyFont="1" applyFill="1" applyBorder="1" applyAlignment="1">
      <alignment horizontal="right"/>
    </xf>
    <xf numFmtId="0" fontId="3" fillId="0" borderId="0" xfId="0" quotePrefix="1" applyFont="1" applyFill="1" applyBorder="1" applyAlignment="1">
      <alignment horizontal="right"/>
    </xf>
    <xf numFmtId="173" fontId="8" fillId="4" borderId="1" xfId="0" applyNumberFormat="1" applyFont="1" applyFill="1" applyBorder="1" applyAlignment="1">
      <alignment horizontal="center"/>
    </xf>
    <xf numFmtId="173" fontId="8" fillId="5" borderId="1" xfId="0" applyNumberFormat="1" applyFont="1" applyFill="1" applyBorder="1" applyAlignment="1">
      <alignment horizontal="center"/>
    </xf>
    <xf numFmtId="0" fontId="5" fillId="0" borderId="0" xfId="0" applyFont="1" applyFill="1" applyBorder="1" applyAlignment="1">
      <alignment horizontal="right"/>
    </xf>
    <xf numFmtId="0" fontId="5" fillId="0" borderId="0" xfId="0" applyFont="1" applyFill="1" applyBorder="1" applyAlignment="1">
      <alignment horizontal="center"/>
    </xf>
    <xf numFmtId="1" fontId="5" fillId="0" borderId="0" xfId="0" applyNumberFormat="1" applyFont="1" applyFill="1" applyBorder="1" applyAlignment="1">
      <alignment horizontal="center"/>
    </xf>
    <xf numFmtId="0" fontId="5" fillId="0" borderId="0" xfId="0" applyFont="1" applyFill="1" applyBorder="1" applyAlignment="1">
      <alignment horizontal="left"/>
    </xf>
    <xf numFmtId="1" fontId="3" fillId="4" borderId="15" xfId="0" applyNumberFormat="1" applyFont="1" applyFill="1" applyBorder="1" applyAlignment="1">
      <alignment horizontal="center" vertical="center" wrapText="1"/>
    </xf>
    <xf numFmtId="1" fontId="3" fillId="5" borderId="16" xfId="0" applyNumberFormat="1" applyFont="1" applyFill="1" applyBorder="1" applyAlignment="1">
      <alignment horizontal="center" vertical="center" wrapText="1"/>
    </xf>
    <xf numFmtId="1" fontId="8" fillId="4" borderId="15" xfId="0" applyNumberFormat="1" applyFont="1" applyFill="1" applyBorder="1" applyAlignment="1">
      <alignment horizontal="center" vertical="center" wrapText="1"/>
    </xf>
    <xf numFmtId="1" fontId="8" fillId="5" borderId="16" xfId="0" applyNumberFormat="1" applyFont="1" applyFill="1" applyBorder="1" applyAlignment="1">
      <alignment horizontal="center" vertical="center" wrapText="1"/>
    </xf>
    <xf numFmtId="1" fontId="3" fillId="0" borderId="0" xfId="0" applyNumberFormat="1" applyFont="1" applyFill="1" applyBorder="1"/>
    <xf numFmtId="0" fontId="3" fillId="4" borderId="15" xfId="0" applyFont="1" applyFill="1" applyBorder="1" applyAlignment="1">
      <alignment horizontal="center" vertical="center"/>
    </xf>
    <xf numFmtId="0" fontId="8" fillId="5" borderId="16" xfId="0" applyFont="1" applyFill="1" applyBorder="1" applyAlignment="1">
      <alignment horizontal="center" vertical="center"/>
    </xf>
    <xf numFmtId="169" fontId="16" fillId="0" borderId="0" xfId="0" applyNumberFormat="1" applyFont="1" applyFill="1" applyBorder="1"/>
    <xf numFmtId="164" fontId="3" fillId="4" borderId="1" xfId="0" applyNumberFormat="1" applyFont="1" applyFill="1" applyBorder="1" applyAlignment="1">
      <alignment horizontal="center"/>
    </xf>
    <xf numFmtId="164" fontId="3" fillId="5" borderId="1" xfId="0" applyNumberFormat="1" applyFont="1" applyFill="1" applyBorder="1" applyAlignment="1">
      <alignment horizontal="center"/>
    </xf>
    <xf numFmtId="0" fontId="16" fillId="0" borderId="0" xfId="0" applyFont="1" applyFill="1" applyBorder="1" applyAlignment="1">
      <alignment horizontal="right"/>
    </xf>
    <xf numFmtId="164" fontId="8" fillId="5" borderId="1" xfId="0" applyNumberFormat="1" applyFont="1" applyFill="1" applyBorder="1" applyAlignment="1">
      <alignment horizontal="center"/>
    </xf>
    <xf numFmtId="0" fontId="8" fillId="0" borderId="0" xfId="0" applyFont="1" applyFill="1" applyBorder="1" applyAlignment="1">
      <alignment horizontal="right"/>
    </xf>
    <xf numFmtId="0" fontId="8" fillId="0" borderId="0" xfId="0" applyFont="1" applyFill="1" applyBorder="1" applyAlignment="1">
      <alignment horizontal="right" wrapText="1"/>
    </xf>
    <xf numFmtId="164" fontId="3" fillId="0" borderId="28" xfId="0" applyNumberFormat="1" applyFont="1" applyFill="1" applyBorder="1" applyAlignment="1">
      <alignment horizontal="center"/>
    </xf>
    <xf numFmtId="164" fontId="3" fillId="0" borderId="30" xfId="0" applyNumberFormat="1" applyFont="1" applyFill="1" applyBorder="1" applyAlignment="1">
      <alignment horizontal="center"/>
    </xf>
    <xf numFmtId="164" fontId="3" fillId="0" borderId="31" xfId="0" applyNumberFormat="1" applyFont="1" applyFill="1" applyBorder="1" applyAlignment="1">
      <alignment horizontal="center"/>
    </xf>
    <xf numFmtId="0" fontId="6" fillId="4" borderId="1" xfId="0" applyFont="1" applyFill="1" applyBorder="1" applyAlignment="1">
      <alignment horizontal="center" vertical="center" wrapText="1"/>
    </xf>
    <xf numFmtId="166" fontId="8" fillId="4" borderId="1" xfId="0" applyNumberFormat="1" applyFont="1" applyFill="1" applyBorder="1" applyAlignment="1">
      <alignment horizontal="center"/>
    </xf>
    <xf numFmtId="166" fontId="8" fillId="5" borderId="1" xfId="0" applyNumberFormat="1" applyFont="1" applyFill="1" applyBorder="1" applyAlignment="1">
      <alignment horizontal="center"/>
    </xf>
    <xf numFmtId="168" fontId="3" fillId="0" borderId="0" xfId="0" applyNumberFormat="1" applyFont="1" applyFill="1" applyBorder="1" applyAlignment="1">
      <alignment horizontal="center"/>
    </xf>
    <xf numFmtId="0" fontId="3" fillId="0" borderId="0" xfId="0" applyFont="1" applyFill="1" applyBorder="1" applyAlignment="1">
      <alignment horizontal="left" wrapText="1"/>
    </xf>
    <xf numFmtId="0" fontId="8" fillId="4" borderId="15" xfId="0" applyFont="1" applyFill="1" applyBorder="1" applyAlignment="1">
      <alignment horizontal="center" vertical="center" wrapText="1"/>
    </xf>
    <xf numFmtId="0" fontId="3" fillId="0" borderId="13" xfId="0" applyFont="1" applyFill="1" applyBorder="1" applyAlignment="1">
      <alignment horizontal="center" wrapText="1"/>
    </xf>
    <xf numFmtId="0" fontId="8" fillId="4" borderId="22" xfId="0" applyFont="1" applyFill="1" applyBorder="1" applyAlignment="1">
      <alignment horizontal="center" vertical="center" wrapText="1"/>
    </xf>
    <xf numFmtId="0" fontId="3" fillId="5" borderId="38" xfId="0" applyFont="1" applyFill="1" applyBorder="1" applyAlignment="1">
      <alignment horizontal="center" vertical="top" wrapText="1"/>
    </xf>
    <xf numFmtId="0" fontId="3" fillId="4" borderId="35" xfId="0" applyFont="1" applyFill="1" applyBorder="1" applyAlignment="1">
      <alignment horizontal="center" wrapText="1"/>
    </xf>
    <xf numFmtId="0" fontId="31" fillId="4" borderId="17" xfId="0" applyFont="1" applyFill="1" applyBorder="1" applyAlignment="1">
      <alignment horizontal="center" vertical="center" wrapText="1"/>
    </xf>
    <xf numFmtId="0" fontId="30" fillId="4" borderId="17" xfId="0" applyFont="1" applyFill="1" applyBorder="1" applyAlignment="1">
      <alignment horizontal="center" vertical="center" wrapText="1"/>
    </xf>
    <xf numFmtId="0" fontId="3" fillId="4" borderId="22" xfId="0" applyFont="1" applyFill="1" applyBorder="1" applyAlignment="1">
      <alignment horizontal="center" vertical="center" wrapText="1"/>
    </xf>
    <xf numFmtId="0" fontId="3" fillId="5" borderId="22" xfId="0" applyFont="1" applyFill="1" applyBorder="1" applyAlignment="1">
      <alignment horizontal="center" vertical="center" wrapText="1"/>
    </xf>
    <xf numFmtId="0" fontId="3" fillId="5" borderId="1" xfId="0" applyFont="1" applyFill="1" applyBorder="1" applyAlignment="1">
      <alignment horizontal="center" vertical="center" wrapText="1"/>
    </xf>
    <xf numFmtId="164" fontId="8" fillId="0" borderId="22" xfId="0" applyNumberFormat="1" applyFont="1" applyFill="1" applyBorder="1" applyAlignment="1">
      <alignment vertical="center" wrapText="1"/>
    </xf>
    <xf numFmtId="166" fontId="3" fillId="0" borderId="0" xfId="0" applyNumberFormat="1" applyFont="1" applyFill="1" applyBorder="1" applyAlignment="1"/>
    <xf numFmtId="0" fontId="3" fillId="0" borderId="0" xfId="0" applyFont="1" applyFill="1" applyBorder="1" applyAlignment="1"/>
    <xf numFmtId="0" fontId="19" fillId="0" borderId="0" xfId="0" applyFont="1" applyFill="1" applyBorder="1" applyAlignment="1"/>
    <xf numFmtId="164" fontId="8" fillId="4" borderId="22" xfId="0" applyNumberFormat="1" applyFont="1" applyFill="1" applyBorder="1" applyAlignment="1">
      <alignment vertical="center"/>
    </xf>
    <xf numFmtId="164" fontId="8" fillId="4" borderId="23" xfId="0" applyNumberFormat="1" applyFont="1" applyFill="1" applyBorder="1" applyAlignment="1">
      <alignment vertical="center" wrapText="1"/>
    </xf>
    <xf numFmtId="1" fontId="3" fillId="4" borderId="35" xfId="0" applyNumberFormat="1" applyFont="1" applyFill="1" applyBorder="1" applyAlignment="1">
      <alignment horizontal="center" vertical="center" wrapText="1"/>
    </xf>
    <xf numFmtId="0" fontId="6" fillId="5" borderId="37" xfId="0" applyFont="1" applyFill="1" applyBorder="1" applyAlignment="1">
      <alignment horizontal="center" vertical="center" wrapText="1"/>
    </xf>
    <xf numFmtId="0" fontId="29" fillId="5" borderId="37" xfId="0" applyFont="1" applyFill="1" applyBorder="1" applyAlignment="1">
      <alignment horizontal="center" vertical="center" wrapText="1"/>
    </xf>
    <xf numFmtId="169" fontId="3" fillId="5" borderId="37" xfId="0" applyNumberFormat="1" applyFont="1" applyFill="1" applyBorder="1" applyAlignment="1">
      <alignment horizontal="center" vertical="center" wrapText="1"/>
    </xf>
    <xf numFmtId="0" fontId="3" fillId="3" borderId="13" xfId="0" applyFont="1" applyFill="1" applyBorder="1" applyAlignment="1">
      <alignment vertical="top" wrapText="1"/>
    </xf>
    <xf numFmtId="0" fontId="3" fillId="3" borderId="1" xfId="0" applyFont="1" applyFill="1" applyBorder="1" applyAlignment="1">
      <alignment horizontal="left" vertical="top" wrapText="1"/>
    </xf>
    <xf numFmtId="0" fontId="32" fillId="0" borderId="0" xfId="0" applyFont="1" applyFill="1" applyBorder="1"/>
    <xf numFmtId="0" fontId="3" fillId="0" borderId="1" xfId="0" applyFont="1" applyFill="1" applyBorder="1" applyAlignment="1">
      <alignment horizontal="left" vertical="center" wrapText="1"/>
    </xf>
    <xf numFmtId="0" fontId="3" fillId="0" borderId="0" xfId="0" applyFont="1" applyFill="1" applyBorder="1" applyAlignment="1">
      <alignment horizontal="left"/>
    </xf>
    <xf numFmtId="167" fontId="8" fillId="0" borderId="0" xfId="0" applyNumberFormat="1" applyFont="1" applyFill="1" applyBorder="1" applyAlignment="1">
      <alignment horizontal="center"/>
    </xf>
    <xf numFmtId="164" fontId="8" fillId="0" borderId="1" xfId="0" applyNumberFormat="1" applyFont="1" applyFill="1" applyBorder="1" applyAlignment="1">
      <alignment vertical="center" wrapText="1"/>
    </xf>
    <xf numFmtId="0" fontId="8" fillId="0" borderId="22" xfId="0" applyFont="1" applyFill="1" applyBorder="1" applyAlignment="1">
      <alignment vertical="center"/>
    </xf>
    <xf numFmtId="0" fontId="26" fillId="0" borderId="0" xfId="0" applyFont="1" applyFill="1" applyBorder="1" applyAlignment="1">
      <alignment wrapText="1"/>
    </xf>
    <xf numFmtId="0" fontId="26" fillId="0" borderId="44" xfId="0" applyFont="1" applyFill="1" applyBorder="1" applyAlignment="1">
      <alignment wrapText="1"/>
    </xf>
    <xf numFmtId="0" fontId="26" fillId="0" borderId="0" xfId="0" applyFont="1" applyFill="1" applyBorder="1" applyAlignment="1">
      <alignment vertical="top" wrapText="1"/>
    </xf>
    <xf numFmtId="1" fontId="30" fillId="5" borderId="18" xfId="0" applyNumberFormat="1" applyFont="1" applyFill="1" applyBorder="1" applyAlignment="1">
      <alignment horizontal="center" vertical="center" wrapText="1"/>
    </xf>
    <xf numFmtId="0" fontId="29" fillId="4" borderId="7" xfId="0" applyFont="1" applyFill="1" applyBorder="1" applyAlignment="1">
      <alignment horizontal="center" vertical="center" wrapText="1"/>
    </xf>
    <xf numFmtId="0" fontId="6" fillId="4" borderId="2" xfId="0" applyFont="1" applyFill="1" applyBorder="1" applyAlignment="1">
      <alignment horizontal="center" vertical="center" wrapText="1"/>
    </xf>
    <xf numFmtId="169" fontId="6" fillId="5" borderId="16" xfId="0" applyNumberFormat="1" applyFont="1" applyFill="1" applyBorder="1" applyAlignment="1">
      <alignment horizontal="center" vertical="center"/>
    </xf>
    <xf numFmtId="169" fontId="29" fillId="5" borderId="18" xfId="0" applyNumberFormat="1" applyFont="1" applyFill="1" applyBorder="1" applyAlignment="1">
      <alignment horizontal="center" vertical="center"/>
    </xf>
    <xf numFmtId="0" fontId="6" fillId="4" borderId="15" xfId="0" applyFont="1" applyFill="1" applyBorder="1" applyAlignment="1">
      <alignment horizontal="center" vertical="center" wrapText="1"/>
    </xf>
    <xf numFmtId="169" fontId="6" fillId="5" borderId="27" xfId="0" applyNumberFormat="1" applyFont="1" applyFill="1" applyBorder="1" applyAlignment="1">
      <alignment horizontal="center" vertical="center"/>
    </xf>
    <xf numFmtId="1" fontId="3" fillId="5" borderId="37" xfId="0" applyNumberFormat="1" applyFont="1" applyFill="1" applyBorder="1" applyAlignment="1">
      <alignment horizontal="center" vertical="center" wrapText="1"/>
    </xf>
    <xf numFmtId="0" fontId="29" fillId="4" borderId="17" xfId="0" applyFont="1" applyFill="1" applyBorder="1" applyAlignment="1">
      <alignment horizontal="center" vertical="center" wrapText="1"/>
    </xf>
    <xf numFmtId="0" fontId="6" fillId="5" borderId="14" xfId="0" applyFont="1" applyFill="1" applyBorder="1" applyAlignment="1">
      <alignment horizontal="center" vertical="center" wrapText="1"/>
    </xf>
    <xf numFmtId="169" fontId="30" fillId="5" borderId="18" xfId="0" applyNumberFormat="1" applyFont="1" applyFill="1" applyBorder="1" applyAlignment="1">
      <alignment horizontal="center" vertical="center" wrapText="1"/>
    </xf>
    <xf numFmtId="169" fontId="30" fillId="5" borderId="18" xfId="0" applyNumberFormat="1" applyFont="1" applyFill="1" applyBorder="1" applyAlignment="1">
      <alignment horizontal="center" vertical="center"/>
    </xf>
    <xf numFmtId="0" fontId="3" fillId="3" borderId="13" xfId="0" applyFont="1" applyFill="1" applyBorder="1" applyAlignment="1">
      <alignment horizontal="left" wrapText="1"/>
    </xf>
    <xf numFmtId="0" fontId="3" fillId="4" borderId="1" xfId="0" applyFont="1" applyFill="1" applyBorder="1" applyAlignment="1">
      <alignment horizontal="center" vertical="center"/>
    </xf>
    <xf numFmtId="0" fontId="3" fillId="5" borderId="14" xfId="0" applyFont="1" applyFill="1" applyBorder="1" applyAlignment="1">
      <alignment horizontal="center" vertical="center"/>
    </xf>
    <xf numFmtId="164" fontId="3" fillId="0" borderId="29" xfId="0" applyNumberFormat="1" applyFont="1" applyFill="1" applyBorder="1" applyAlignment="1">
      <alignment horizontal="center"/>
    </xf>
    <xf numFmtId="1" fontId="8" fillId="4" borderId="35" xfId="0" applyNumberFormat="1" applyFont="1" applyFill="1" applyBorder="1" applyAlignment="1">
      <alignment horizontal="center" vertical="center" wrapText="1"/>
    </xf>
    <xf numFmtId="1" fontId="8" fillId="5" borderId="37" xfId="0" applyNumberFormat="1" applyFont="1" applyFill="1" applyBorder="1" applyAlignment="1">
      <alignment horizontal="center" vertical="center" wrapText="1"/>
    </xf>
    <xf numFmtId="0" fontId="3" fillId="3" borderId="1" xfId="0" applyFont="1" applyFill="1" applyBorder="1" applyAlignment="1">
      <alignment horizontal="center" vertical="center" wrapText="1"/>
    </xf>
    <xf numFmtId="0" fontId="30" fillId="0" borderId="0" xfId="0" applyFont="1" applyFill="1" applyBorder="1"/>
    <xf numFmtId="1" fontId="30" fillId="4" borderId="17" xfId="0" applyNumberFormat="1" applyFont="1" applyFill="1" applyBorder="1" applyAlignment="1">
      <alignment horizontal="center" vertical="center" wrapText="1"/>
    </xf>
    <xf numFmtId="172" fontId="31" fillId="5" borderId="18" xfId="0" applyNumberFormat="1" applyFont="1" applyFill="1" applyBorder="1" applyAlignment="1">
      <alignment horizontal="center" vertical="center" wrapText="1"/>
    </xf>
    <xf numFmtId="1" fontId="34" fillId="0" borderId="0" xfId="0" applyNumberFormat="1" applyFont="1" applyAlignment="1">
      <alignment horizontal="center"/>
    </xf>
    <xf numFmtId="0" fontId="28" fillId="0" borderId="0" xfId="0" applyFont="1"/>
    <xf numFmtId="0" fontId="6" fillId="4" borderId="35" xfId="0" applyFont="1" applyFill="1" applyBorder="1" applyAlignment="1">
      <alignment horizontal="center" vertical="center" wrapText="1"/>
    </xf>
    <xf numFmtId="0" fontId="29" fillId="4" borderId="35" xfId="0" applyFont="1" applyFill="1" applyBorder="1" applyAlignment="1">
      <alignment horizontal="center" vertical="center" wrapText="1"/>
    </xf>
    <xf numFmtId="0" fontId="29" fillId="4" borderId="26" xfId="0" applyFont="1" applyFill="1" applyBorder="1" applyAlignment="1">
      <alignment horizontal="center" vertical="center" wrapText="1"/>
    </xf>
    <xf numFmtId="0" fontId="29" fillId="5" borderId="27" xfId="0" applyFont="1" applyFill="1" applyBorder="1" applyAlignment="1">
      <alignment horizontal="center" vertical="center" wrapText="1"/>
    </xf>
    <xf numFmtId="172" fontId="8" fillId="5" borderId="37" xfId="0" applyNumberFormat="1" applyFont="1" applyFill="1" applyBorder="1" applyAlignment="1">
      <alignment horizontal="center" wrapText="1"/>
    </xf>
    <xf numFmtId="0" fontId="3" fillId="8" borderId="15" xfId="0" applyFont="1" applyFill="1" applyBorder="1" applyAlignment="1">
      <alignment horizontal="right" wrapText="1" indent="1"/>
    </xf>
    <xf numFmtId="0" fontId="30" fillId="8" borderId="17" xfId="0" applyFont="1" applyFill="1" applyBorder="1" applyAlignment="1">
      <alignment horizontal="right" wrapText="1" indent="1"/>
    </xf>
    <xf numFmtId="0" fontId="30" fillId="8" borderId="17" xfId="0" applyFont="1" applyFill="1" applyBorder="1" applyAlignment="1">
      <alignment horizontal="justify" vertical="top" wrapText="1"/>
    </xf>
    <xf numFmtId="0" fontId="31" fillId="8" borderId="17" xfId="0" applyFont="1" applyFill="1" applyBorder="1" applyAlignment="1">
      <alignment horizontal="justify" vertical="top" wrapText="1"/>
    </xf>
    <xf numFmtId="1" fontId="30" fillId="4" borderId="7" xfId="0" applyNumberFormat="1" applyFont="1" applyFill="1" applyBorder="1" applyAlignment="1">
      <alignment horizontal="center" vertical="center" wrapText="1"/>
    </xf>
    <xf numFmtId="1" fontId="31" fillId="4" borderId="17" xfId="0" applyNumberFormat="1" applyFont="1" applyFill="1" applyBorder="1" applyAlignment="1">
      <alignment horizontal="center" vertical="center"/>
    </xf>
    <xf numFmtId="0" fontId="31" fillId="5" borderId="18" xfId="0" applyFont="1" applyFill="1" applyBorder="1" applyAlignment="1">
      <alignment horizontal="center" vertical="center"/>
    </xf>
    <xf numFmtId="0" fontId="3" fillId="4" borderId="15" xfId="0" applyFont="1" applyFill="1" applyBorder="1" applyAlignment="1">
      <alignment horizontal="center" vertical="center" wrapText="1"/>
    </xf>
    <xf numFmtId="0" fontId="3" fillId="4" borderId="35" xfId="0" applyFont="1" applyFill="1" applyBorder="1" applyAlignment="1">
      <alignment horizontal="center" vertical="center" wrapText="1"/>
    </xf>
    <xf numFmtId="169" fontId="3" fillId="5" borderId="16" xfId="0" applyNumberFormat="1" applyFont="1" applyFill="1" applyBorder="1" applyAlignment="1">
      <alignment horizontal="center" vertical="center" wrapText="1"/>
    </xf>
    <xf numFmtId="169" fontId="30" fillId="4" borderId="35" xfId="0" applyNumberFormat="1" applyFont="1" applyFill="1" applyBorder="1" applyAlignment="1">
      <alignment horizontal="center" vertical="center" wrapText="1"/>
    </xf>
    <xf numFmtId="0" fontId="3" fillId="4" borderId="2" xfId="0" applyFont="1" applyFill="1" applyBorder="1" applyAlignment="1">
      <alignment horizontal="center" vertical="top" wrapText="1"/>
    </xf>
    <xf numFmtId="0" fontId="3" fillId="4" borderId="5" xfId="0" applyFont="1" applyFill="1" applyBorder="1" applyAlignment="1">
      <alignment horizontal="center" vertical="top" wrapText="1"/>
    </xf>
    <xf numFmtId="0" fontId="3" fillId="5" borderId="39" xfId="0" applyFont="1" applyFill="1" applyBorder="1" applyAlignment="1">
      <alignment horizontal="center" vertical="top" wrapText="1"/>
    </xf>
    <xf numFmtId="0" fontId="8" fillId="5" borderId="37" xfId="0" applyFont="1" applyFill="1" applyBorder="1" applyAlignment="1">
      <alignment horizontal="center" vertical="center"/>
    </xf>
    <xf numFmtId="0" fontId="8" fillId="0" borderId="1" xfId="0" applyFont="1" applyFill="1" applyBorder="1" applyAlignment="1">
      <alignment horizontal="left" vertical="center" wrapText="1"/>
    </xf>
    <xf numFmtId="0" fontId="29" fillId="4" borderId="35" xfId="0" applyFont="1" applyFill="1" applyBorder="1" applyAlignment="1">
      <alignment horizontal="center" vertical="center"/>
    </xf>
    <xf numFmtId="0" fontId="29" fillId="5" borderId="37" xfId="0" applyFont="1" applyFill="1" applyBorder="1" applyAlignment="1">
      <alignment horizontal="center" vertical="center"/>
    </xf>
    <xf numFmtId="0" fontId="8" fillId="5" borderId="16" xfId="0" applyFont="1" applyFill="1" applyBorder="1" applyAlignment="1">
      <alignment horizontal="center" vertical="center" wrapText="1"/>
    </xf>
    <xf numFmtId="0" fontId="31" fillId="5" borderId="18" xfId="0" applyFont="1" applyFill="1" applyBorder="1" applyAlignment="1">
      <alignment horizontal="center" vertical="center" wrapText="1"/>
    </xf>
    <xf numFmtId="0" fontId="3" fillId="5" borderId="16" xfId="0" applyFont="1" applyFill="1" applyBorder="1" applyAlignment="1">
      <alignment horizontal="center" vertical="center" wrapText="1"/>
    </xf>
    <xf numFmtId="0" fontId="30" fillId="5" borderId="18" xfId="0" applyFont="1" applyFill="1" applyBorder="1" applyAlignment="1">
      <alignment horizontal="center" vertical="center" wrapText="1"/>
    </xf>
    <xf numFmtId="0" fontId="3" fillId="5" borderId="37" xfId="0" applyFont="1" applyFill="1" applyBorder="1" applyAlignment="1">
      <alignment horizontal="center" vertical="center" wrapText="1"/>
    </xf>
    <xf numFmtId="0" fontId="30" fillId="5" borderId="37" xfId="0" applyFont="1" applyFill="1" applyBorder="1" applyAlignment="1">
      <alignment horizontal="center" vertical="center" wrapText="1"/>
    </xf>
    <xf numFmtId="0" fontId="3" fillId="4" borderId="35" xfId="0" applyFont="1" applyFill="1" applyBorder="1" applyAlignment="1">
      <alignment horizontal="center" vertical="top" wrapText="1"/>
    </xf>
    <xf numFmtId="0" fontId="30" fillId="4" borderId="35" xfId="0" applyFont="1" applyFill="1" applyBorder="1" applyAlignment="1">
      <alignment horizontal="center" vertical="top" wrapText="1"/>
    </xf>
    <xf numFmtId="0" fontId="30" fillId="5" borderId="39" xfId="0" applyFont="1" applyFill="1" applyBorder="1" applyAlignment="1">
      <alignment horizontal="center" vertical="top" wrapText="1"/>
    </xf>
    <xf numFmtId="0" fontId="30" fillId="4" borderId="17" xfId="0" applyFont="1" applyFill="1" applyBorder="1" applyAlignment="1">
      <alignment horizontal="center" vertical="top" wrapText="1"/>
    </xf>
    <xf numFmtId="0" fontId="30" fillId="5" borderId="40" xfId="0" applyFont="1" applyFill="1" applyBorder="1" applyAlignment="1">
      <alignment horizontal="center" vertical="top" wrapText="1"/>
    </xf>
    <xf numFmtId="0" fontId="30" fillId="4" borderId="5" xfId="0" applyFont="1" applyFill="1" applyBorder="1" applyAlignment="1">
      <alignment horizontal="center" vertical="top" wrapText="1"/>
    </xf>
    <xf numFmtId="0" fontId="30" fillId="4" borderId="7" xfId="0" applyFont="1" applyFill="1" applyBorder="1" applyAlignment="1">
      <alignment horizontal="center" vertical="top" wrapText="1"/>
    </xf>
    <xf numFmtId="0" fontId="3" fillId="5" borderId="37" xfId="0" applyFont="1" applyFill="1" applyBorder="1" applyAlignment="1">
      <alignment horizontal="center" vertical="top" wrapText="1"/>
    </xf>
    <xf numFmtId="0" fontId="35" fillId="0" borderId="0" xfId="0" applyFont="1" applyFill="1" applyBorder="1"/>
    <xf numFmtId="0" fontId="31" fillId="5" borderId="37" xfId="0" applyFont="1" applyFill="1" applyBorder="1" applyAlignment="1">
      <alignment horizontal="center" vertical="center"/>
    </xf>
    <xf numFmtId="169" fontId="30" fillId="4" borderId="17" xfId="0" applyNumberFormat="1" applyFont="1" applyFill="1" applyBorder="1" applyAlignment="1">
      <alignment horizontal="center" vertical="center"/>
    </xf>
    <xf numFmtId="0" fontId="3" fillId="8" borderId="2" xfId="0" applyFont="1" applyFill="1" applyBorder="1" applyAlignment="1">
      <alignment vertical="top" wrapText="1"/>
    </xf>
    <xf numFmtId="0" fontId="3" fillId="8" borderId="4" xfId="0" applyFont="1" applyFill="1" applyBorder="1" applyAlignment="1">
      <alignment vertical="top" wrapText="1"/>
    </xf>
    <xf numFmtId="0" fontId="3" fillId="8" borderId="5" xfId="0" applyFont="1" applyFill="1" applyBorder="1" applyAlignment="1">
      <alignment vertical="center" wrapText="1"/>
    </xf>
    <xf numFmtId="0" fontId="3" fillId="8" borderId="6" xfId="0" applyFont="1" applyFill="1" applyBorder="1" applyAlignment="1">
      <alignment vertical="top" wrapText="1"/>
    </xf>
    <xf numFmtId="0" fontId="3" fillId="8" borderId="7" xfId="0" applyFont="1" applyFill="1" applyBorder="1" applyAlignment="1">
      <alignment vertical="top" wrapText="1"/>
    </xf>
    <xf numFmtId="0" fontId="3" fillId="8" borderId="9" xfId="0" applyFont="1" applyFill="1" applyBorder="1" applyAlignment="1">
      <alignment vertical="top" wrapText="1"/>
    </xf>
    <xf numFmtId="0" fontId="3" fillId="8" borderId="5" xfId="0" applyFont="1" applyFill="1" applyBorder="1" applyAlignment="1">
      <alignment vertical="top" wrapText="1"/>
    </xf>
    <xf numFmtId="169" fontId="30" fillId="4" borderId="17" xfId="0" applyNumberFormat="1" applyFont="1" applyFill="1" applyBorder="1" applyAlignment="1">
      <alignment horizontal="center" vertical="top" wrapText="1"/>
    </xf>
    <xf numFmtId="0" fontId="30" fillId="8" borderId="17" xfId="0" applyFont="1" applyFill="1" applyBorder="1" applyAlignment="1">
      <alignment vertical="top" wrapText="1"/>
    </xf>
    <xf numFmtId="0" fontId="8" fillId="8" borderId="15" xfId="0" applyFont="1" applyFill="1" applyBorder="1" applyAlignment="1">
      <alignment vertical="top" wrapText="1"/>
    </xf>
    <xf numFmtId="0" fontId="31" fillId="8" borderId="7" xfId="0" applyFont="1" applyFill="1" applyBorder="1" applyAlignment="1">
      <alignment vertical="top" wrapText="1"/>
    </xf>
    <xf numFmtId="0" fontId="31" fillId="8" borderId="35" xfId="0" applyFont="1" applyFill="1" applyBorder="1" applyAlignment="1">
      <alignment vertical="top" wrapText="1"/>
    </xf>
    <xf numFmtId="0" fontId="30" fillId="5" borderId="40" xfId="0" applyFont="1" applyFill="1" applyBorder="1" applyAlignment="1">
      <alignment horizontal="center" vertical="center" wrapText="1"/>
    </xf>
    <xf numFmtId="0" fontId="3" fillId="5" borderId="39" xfId="0" applyFont="1" applyFill="1" applyBorder="1" applyAlignment="1">
      <alignment horizontal="center" vertical="center" wrapText="1"/>
    </xf>
    <xf numFmtId="0" fontId="3" fillId="5" borderId="38" xfId="0" applyFont="1" applyFill="1" applyBorder="1" applyAlignment="1">
      <alignment horizontal="center" vertical="center" wrapText="1"/>
    </xf>
    <xf numFmtId="0" fontId="30" fillId="0" borderId="0" xfId="0" applyFont="1" applyFill="1" applyBorder="1" applyAlignment="1">
      <alignment horizontal="right" indent="1"/>
    </xf>
    <xf numFmtId="166" fontId="30" fillId="0" borderId="5" xfId="0" applyNumberFormat="1" applyFont="1" applyFill="1" applyBorder="1" applyAlignment="1"/>
    <xf numFmtId="0" fontId="33" fillId="0" borderId="5" xfId="0" applyFont="1" applyFill="1" applyBorder="1" applyAlignment="1"/>
    <xf numFmtId="0" fontId="8" fillId="5" borderId="37" xfId="0" applyFont="1" applyFill="1" applyBorder="1" applyAlignment="1">
      <alignment horizontal="center" vertical="center" wrapText="1"/>
    </xf>
    <xf numFmtId="0" fontId="3" fillId="4" borderId="35" xfId="0" applyFont="1" applyFill="1" applyBorder="1" applyAlignment="1">
      <alignment horizontal="center" vertical="center"/>
    </xf>
    <xf numFmtId="0" fontId="3" fillId="8" borderId="36" xfId="0" applyFont="1" applyFill="1" applyBorder="1" applyAlignment="1">
      <alignment horizontal="right" vertical="top" wrapText="1" indent="1"/>
    </xf>
    <xf numFmtId="0" fontId="31" fillId="8" borderId="20" xfId="0" applyFont="1" applyFill="1" applyBorder="1" applyAlignment="1">
      <alignment horizontal="right" vertical="top" wrapText="1" indent="1"/>
    </xf>
    <xf numFmtId="0" fontId="30" fillId="8" borderId="41" xfId="0" applyFont="1" applyFill="1" applyBorder="1" applyAlignment="1">
      <alignment horizontal="right" vertical="top" wrapText="1" indent="1"/>
    </xf>
    <xf numFmtId="0" fontId="8" fillId="8" borderId="19" xfId="0" applyFont="1" applyFill="1" applyBorder="1" applyAlignment="1">
      <alignment horizontal="right" vertical="top" wrapText="1" indent="1"/>
    </xf>
    <xf numFmtId="0" fontId="30" fillId="4" borderId="26" xfId="0" applyFont="1" applyFill="1" applyBorder="1" applyAlignment="1">
      <alignment horizontal="center" vertical="center" wrapText="1"/>
    </xf>
    <xf numFmtId="0" fontId="30" fillId="5" borderId="27" xfId="0" applyFont="1" applyFill="1" applyBorder="1" applyAlignment="1">
      <alignment horizontal="center" vertical="center" wrapText="1"/>
    </xf>
    <xf numFmtId="0" fontId="3" fillId="8" borderId="19" xfId="0" applyFont="1" applyFill="1" applyBorder="1" applyAlignment="1">
      <alignment horizontal="right" vertical="top" wrapText="1" indent="1"/>
    </xf>
    <xf numFmtId="0" fontId="30" fillId="8" borderId="20" xfId="0" applyFont="1" applyFill="1" applyBorder="1" applyAlignment="1">
      <alignment horizontal="right" vertical="top" wrapText="1" indent="1"/>
    </xf>
    <xf numFmtId="0" fontId="30" fillId="0" borderId="0" xfId="0" applyFont="1" applyFill="1" applyBorder="1" applyAlignment="1">
      <alignment horizontal="left"/>
    </xf>
    <xf numFmtId="0" fontId="3" fillId="0" borderId="1" xfId="0" applyFont="1" applyFill="1" applyBorder="1" applyAlignment="1">
      <alignment vertical="center" wrapText="1"/>
    </xf>
    <xf numFmtId="0" fontId="8" fillId="0" borderId="1" xfId="0" applyFont="1" applyFill="1" applyBorder="1" applyAlignment="1">
      <alignment horizontal="left" vertical="center"/>
    </xf>
    <xf numFmtId="0" fontId="8" fillId="0" borderId="1" xfId="0" applyFont="1" applyFill="1" applyBorder="1" applyAlignment="1">
      <alignment vertical="center" wrapText="1"/>
    </xf>
    <xf numFmtId="0" fontId="8" fillId="0" borderId="1" xfId="0" applyFont="1" applyFill="1" applyBorder="1" applyAlignment="1">
      <alignment vertical="center"/>
    </xf>
    <xf numFmtId="0" fontId="3" fillId="0" borderId="1" xfId="0" applyFont="1" applyFill="1" applyBorder="1" applyAlignment="1">
      <alignment horizontal="center" vertical="center" wrapText="1"/>
    </xf>
    <xf numFmtId="0" fontId="3" fillId="0" borderId="1" xfId="0" applyFont="1" applyFill="1" applyBorder="1" applyAlignment="1">
      <alignment horizontal="left" vertical="center"/>
    </xf>
    <xf numFmtId="0" fontId="3" fillId="0" borderId="19" xfId="0" applyFont="1" applyFill="1" applyBorder="1" applyAlignment="1">
      <alignment horizontal="center" vertical="top"/>
    </xf>
    <xf numFmtId="0" fontId="3" fillId="0" borderId="36" xfId="0" applyFont="1" applyFill="1" applyBorder="1" applyAlignment="1">
      <alignment horizontal="center" vertical="top"/>
    </xf>
    <xf numFmtId="0" fontId="3" fillId="0" borderId="20" xfId="0" applyFont="1" applyFill="1" applyBorder="1" applyAlignment="1">
      <alignment horizontal="center" vertical="top"/>
    </xf>
    <xf numFmtId="164" fontId="8" fillId="4" borderId="1" xfId="0" applyNumberFormat="1" applyFont="1" applyFill="1" applyBorder="1" applyAlignment="1">
      <alignment horizontal="center"/>
    </xf>
    <xf numFmtId="0" fontId="3" fillId="3" borderId="1" xfId="0" applyFont="1" applyFill="1" applyBorder="1" applyAlignment="1">
      <alignment horizontal="center" wrapText="1"/>
    </xf>
    <xf numFmtId="0" fontId="3" fillId="8" borderId="15" xfId="0" applyFont="1" applyFill="1" applyBorder="1" applyAlignment="1">
      <alignment horizontal="center" vertical="center" wrapText="1"/>
    </xf>
    <xf numFmtId="0" fontId="30" fillId="4" borderId="35" xfId="0" applyFont="1" applyFill="1" applyBorder="1" applyAlignment="1">
      <alignment horizontal="center" vertical="center" wrapText="1"/>
    </xf>
    <xf numFmtId="0" fontId="36" fillId="0" borderId="0" xfId="0" applyFont="1"/>
    <xf numFmtId="0" fontId="37" fillId="0" borderId="0" xfId="1" applyFont="1" applyFill="1" applyBorder="1" applyAlignment="1" applyProtection="1"/>
    <xf numFmtId="0" fontId="37" fillId="0" borderId="0" xfId="1" applyFont="1" applyFill="1" applyBorder="1"/>
    <xf numFmtId="0" fontId="26" fillId="0" borderId="0" xfId="0" applyFont="1" applyBorder="1" applyAlignment="1">
      <alignment wrapText="1"/>
    </xf>
    <xf numFmtId="0" fontId="32" fillId="0" borderId="0" xfId="0" applyFont="1" applyBorder="1" applyAlignment="1">
      <alignment horizontal="left" wrapText="1"/>
    </xf>
    <xf numFmtId="0" fontId="35" fillId="0" borderId="0" xfId="0" applyFont="1" applyFill="1"/>
    <xf numFmtId="1" fontId="35" fillId="0" borderId="0" xfId="0" applyNumberFormat="1" applyFont="1" applyFill="1" applyAlignment="1">
      <alignment horizontal="center"/>
    </xf>
    <xf numFmtId="0" fontId="36" fillId="0" borderId="0" xfId="0" applyFont="1" applyFill="1"/>
    <xf numFmtId="164" fontId="36" fillId="0" borderId="1" xfId="0" applyNumberFormat="1" applyFont="1" applyFill="1" applyBorder="1" applyAlignment="1">
      <alignment horizontal="right" vertical="center" indent="1"/>
    </xf>
    <xf numFmtId="0" fontId="9" fillId="0" borderId="0" xfId="3" applyFont="1" applyFill="1" applyBorder="1"/>
    <xf numFmtId="166" fontId="36" fillId="0" borderId="0" xfId="0" applyNumberFormat="1" applyFont="1"/>
    <xf numFmtId="169" fontId="36" fillId="0" borderId="0" xfId="0" applyNumberFormat="1" applyFont="1"/>
    <xf numFmtId="0" fontId="30" fillId="0" borderId="0" xfId="0" applyFont="1" applyFill="1" applyBorder="1" applyAlignment="1"/>
    <xf numFmtId="0" fontId="6" fillId="2" borderId="25" xfId="0" applyFont="1" applyFill="1" applyBorder="1" applyAlignment="1">
      <alignment horizontal="left" vertical="center"/>
    </xf>
    <xf numFmtId="0" fontId="14" fillId="2" borderId="23" xfId="0" applyFont="1" applyFill="1" applyBorder="1" applyAlignment="1">
      <alignment horizontal="left" vertical="center"/>
    </xf>
    <xf numFmtId="0" fontId="3" fillId="5" borderId="16" xfId="0" applyFont="1" applyFill="1" applyBorder="1" applyAlignment="1">
      <alignment horizontal="center" vertical="top" wrapText="1"/>
    </xf>
    <xf numFmtId="0" fontId="30" fillId="5" borderId="37" xfId="0" applyFont="1" applyFill="1" applyBorder="1" applyAlignment="1">
      <alignment horizontal="center" vertical="top" wrapText="1"/>
    </xf>
    <xf numFmtId="0" fontId="30" fillId="5" borderId="18" xfId="0" applyFont="1" applyFill="1" applyBorder="1" applyAlignment="1">
      <alignment horizontal="center" vertical="top" wrapText="1"/>
    </xf>
    <xf numFmtId="0" fontId="13" fillId="0" borderId="2" xfId="0" applyFont="1" applyBorder="1"/>
    <xf numFmtId="0" fontId="13" fillId="0" borderId="3" xfId="0" applyFont="1" applyBorder="1"/>
    <xf numFmtId="0" fontId="36" fillId="0" borderId="4" xfId="0" applyFont="1" applyBorder="1"/>
    <xf numFmtId="0" fontId="38" fillId="2" borderId="6" xfId="0" applyFont="1" applyFill="1" applyBorder="1" applyAlignment="1">
      <alignment horizontal="left" indent="2"/>
    </xf>
    <xf numFmtId="0" fontId="13" fillId="0" borderId="5" xfId="0" applyFont="1" applyBorder="1"/>
    <xf numFmtId="0" fontId="13" fillId="0" borderId="0" xfId="0" applyFont="1" applyBorder="1"/>
    <xf numFmtId="0" fontId="36" fillId="0" borderId="6" xfId="0" applyFont="1" applyBorder="1"/>
    <xf numFmtId="0" fontId="39" fillId="0" borderId="6" xfId="0" applyFont="1" applyBorder="1" applyAlignment="1"/>
    <xf numFmtId="14" fontId="36" fillId="0" borderId="0" xfId="0" applyNumberFormat="1" applyFont="1"/>
    <xf numFmtId="0" fontId="40" fillId="2" borderId="6" xfId="0" applyFont="1" applyFill="1" applyBorder="1" applyAlignment="1"/>
    <xf numFmtId="0" fontId="13" fillId="0" borderId="0" xfId="1" applyFont="1" applyBorder="1" applyAlignment="1" applyProtection="1">
      <alignment horizontal="justify" vertical="top" wrapText="1"/>
    </xf>
    <xf numFmtId="0" fontId="39" fillId="0" borderId="6" xfId="1" applyFont="1" applyBorder="1" applyAlignment="1" applyProtection="1">
      <alignment horizontal="justify" vertical="top" wrapText="1"/>
    </xf>
    <xf numFmtId="0" fontId="43" fillId="2" borderId="6" xfId="0" applyFont="1" applyFill="1" applyBorder="1" applyAlignment="1"/>
    <xf numFmtId="0" fontId="13" fillId="0" borderId="6" xfId="0" applyFont="1" applyBorder="1"/>
    <xf numFmtId="0" fontId="36" fillId="0" borderId="9" xfId="0" applyFont="1" applyBorder="1"/>
    <xf numFmtId="0" fontId="13" fillId="0" borderId="0" xfId="0" applyFont="1"/>
    <xf numFmtId="0" fontId="37" fillId="0" borderId="0" xfId="1" applyFont="1" applyBorder="1" applyAlignment="1" applyProtection="1">
      <alignment horizontal="left" indent="2"/>
    </xf>
    <xf numFmtId="0" fontId="8" fillId="0" borderId="1" xfId="0" applyFont="1" applyFill="1" applyBorder="1" applyAlignment="1">
      <alignment vertical="center"/>
    </xf>
    <xf numFmtId="164" fontId="8" fillId="10" borderId="1" xfId="0" applyNumberFormat="1" applyFont="1" applyFill="1" applyBorder="1" applyAlignment="1">
      <alignment vertical="center" wrapText="1"/>
    </xf>
    <xf numFmtId="164" fontId="8" fillId="4" borderId="1" xfId="0" applyNumberFormat="1" applyFont="1" applyFill="1" applyBorder="1" applyAlignment="1">
      <alignment vertical="center" wrapText="1"/>
    </xf>
    <xf numFmtId="166" fontId="8" fillId="0" borderId="0" xfId="0" applyNumberFormat="1" applyFont="1" applyFill="1" applyBorder="1"/>
    <xf numFmtId="164" fontId="8" fillId="5" borderId="23" xfId="0" applyNumberFormat="1" applyFont="1" applyFill="1" applyBorder="1" applyAlignment="1">
      <alignment vertical="center" wrapText="1"/>
    </xf>
    <xf numFmtId="164" fontId="8" fillId="4" borderId="23" xfId="0" applyNumberFormat="1" applyFont="1" applyFill="1" applyBorder="1" applyAlignment="1">
      <alignment vertical="center" wrapText="1"/>
    </xf>
    <xf numFmtId="164" fontId="8" fillId="4" borderId="1" xfId="0" applyNumberFormat="1" applyFont="1" applyFill="1" applyBorder="1" applyAlignment="1">
      <alignment vertical="center" wrapText="1"/>
    </xf>
    <xf numFmtId="164" fontId="8" fillId="4" borderId="1" xfId="0" applyNumberFormat="1" applyFont="1" applyFill="1" applyBorder="1" applyAlignment="1">
      <alignment vertical="center" wrapText="1"/>
    </xf>
    <xf numFmtId="167" fontId="2" fillId="0" borderId="0" xfId="1" applyNumberFormat="1" applyFill="1" applyBorder="1" applyAlignment="1">
      <alignment horizontal="center"/>
    </xf>
    <xf numFmtId="167" fontId="3" fillId="0" borderId="29" xfId="0" applyNumberFormat="1" applyFont="1" applyFill="1" applyBorder="1" applyAlignment="1">
      <alignment horizontal="center"/>
    </xf>
    <xf numFmtId="167" fontId="3" fillId="0" borderId="28" xfId="0" applyNumberFormat="1" applyFont="1" applyFill="1" applyBorder="1" applyAlignment="1">
      <alignment horizontal="center"/>
    </xf>
    <xf numFmtId="0" fontId="3" fillId="0" borderId="1" xfId="0" applyFont="1" applyFill="1" applyBorder="1" applyAlignment="1">
      <alignment vertical="center" wrapText="1"/>
    </xf>
    <xf numFmtId="0" fontId="8" fillId="0" borderId="1" xfId="0" applyFont="1" applyFill="1" applyBorder="1" applyAlignment="1">
      <alignment horizontal="left" vertical="center"/>
    </xf>
    <xf numFmtId="0" fontId="31" fillId="5" borderId="18" xfId="0" applyFont="1" applyFill="1" applyBorder="1" applyAlignment="1">
      <alignment horizontal="center" vertical="top" wrapText="1"/>
    </xf>
    <xf numFmtId="0" fontId="48" fillId="8" borderId="5" xfId="0" applyFont="1" applyFill="1" applyBorder="1" applyAlignment="1">
      <alignment vertical="top" wrapText="1"/>
    </xf>
    <xf numFmtId="0" fontId="48" fillId="8" borderId="6" xfId="0" applyFont="1" applyFill="1" applyBorder="1" applyAlignment="1">
      <alignment vertical="top" wrapText="1"/>
    </xf>
    <xf numFmtId="0" fontId="48" fillId="4" borderId="35" xfId="0" applyFont="1" applyFill="1" applyBorder="1" applyAlignment="1">
      <alignment horizontal="center" vertical="center" wrapText="1"/>
    </xf>
    <xf numFmtId="0" fontId="9" fillId="5" borderId="37" xfId="0" applyFont="1" applyFill="1" applyBorder="1" applyAlignment="1">
      <alignment horizontal="center" vertical="center" wrapText="1"/>
    </xf>
    <xf numFmtId="0" fontId="49" fillId="8" borderId="0" xfId="0" applyFont="1" applyFill="1" applyBorder="1" applyAlignment="1">
      <alignment horizontal="left" vertical="top" wrapText="1"/>
    </xf>
    <xf numFmtId="169" fontId="49" fillId="4" borderId="35" xfId="0" applyNumberFormat="1" applyFont="1" applyFill="1" applyBorder="1" applyAlignment="1">
      <alignment horizontal="center" vertical="top" wrapText="1"/>
    </xf>
    <xf numFmtId="0" fontId="50" fillId="5" borderId="37" xfId="0" applyFont="1" applyFill="1" applyBorder="1" applyAlignment="1">
      <alignment horizontal="center" vertical="top" wrapText="1"/>
    </xf>
    <xf numFmtId="169" fontId="49" fillId="4" borderId="26" xfId="0" applyNumberFormat="1" applyFont="1" applyFill="1" applyBorder="1" applyAlignment="1">
      <alignment horizontal="center" vertical="top" wrapText="1"/>
    </xf>
    <xf numFmtId="0" fontId="50" fillId="5" borderId="27" xfId="0" applyFont="1" applyFill="1" applyBorder="1" applyAlignment="1">
      <alignment horizontal="center" vertical="top" wrapText="1"/>
    </xf>
    <xf numFmtId="0" fontId="48" fillId="8" borderId="35" xfId="0" applyFont="1" applyFill="1" applyBorder="1" applyAlignment="1">
      <alignment horizontal="justify" vertical="top" wrapText="1"/>
    </xf>
    <xf numFmtId="1" fontId="48" fillId="4" borderId="15" xfId="0" applyNumberFormat="1" applyFont="1" applyFill="1" applyBorder="1" applyAlignment="1">
      <alignment horizontal="center" vertical="center" wrapText="1"/>
    </xf>
    <xf numFmtId="1" fontId="48" fillId="5" borderId="16" xfId="0" applyNumberFormat="1" applyFont="1" applyFill="1" applyBorder="1" applyAlignment="1">
      <alignment horizontal="center" vertical="center" wrapText="1"/>
    </xf>
    <xf numFmtId="0" fontId="49" fillId="8" borderId="35" xfId="0" applyFont="1" applyFill="1" applyBorder="1" applyAlignment="1">
      <alignment horizontal="justify" vertical="top" wrapText="1"/>
    </xf>
    <xf numFmtId="1" fontId="9" fillId="4" borderId="35" xfId="0" applyNumberFormat="1" applyFont="1" applyFill="1" applyBorder="1" applyAlignment="1">
      <alignment horizontal="center" vertical="center" wrapText="1"/>
    </xf>
    <xf numFmtId="1" fontId="48" fillId="5" borderId="37" xfId="0" applyNumberFormat="1" applyFont="1" applyFill="1" applyBorder="1" applyAlignment="1">
      <alignment horizontal="center" vertical="center" wrapText="1"/>
    </xf>
    <xf numFmtId="1" fontId="49" fillId="4" borderId="17" xfId="0" applyNumberFormat="1" applyFont="1" applyFill="1" applyBorder="1" applyAlignment="1">
      <alignment horizontal="center" vertical="center" wrapText="1"/>
    </xf>
    <xf numFmtId="1" fontId="49" fillId="5" borderId="18" xfId="0" applyNumberFormat="1" applyFont="1" applyFill="1" applyBorder="1" applyAlignment="1">
      <alignment horizontal="center" vertical="center" wrapText="1"/>
    </xf>
    <xf numFmtId="1" fontId="48" fillId="4" borderId="35" xfId="0" applyNumberFormat="1" applyFont="1" applyFill="1" applyBorder="1" applyAlignment="1">
      <alignment horizontal="center" vertical="center" wrapText="1"/>
    </xf>
    <xf numFmtId="0" fontId="49" fillId="8" borderId="17" xfId="0" applyFont="1" applyFill="1" applyBorder="1" applyAlignment="1">
      <alignment horizontal="justify" vertical="top" wrapText="1"/>
    </xf>
    <xf numFmtId="164" fontId="3" fillId="0" borderId="50" xfId="0" applyNumberFormat="1" applyFont="1" applyFill="1" applyBorder="1" applyAlignment="1">
      <alignment horizontal="center"/>
    </xf>
    <xf numFmtId="0" fontId="33" fillId="0" borderId="0" xfId="0" applyFont="1" applyFill="1" applyBorder="1" applyAlignment="1"/>
    <xf numFmtId="0" fontId="36" fillId="9" borderId="22" xfId="0" applyFont="1" applyFill="1" applyBorder="1" applyAlignment="1">
      <alignment horizontal="center"/>
    </xf>
    <xf numFmtId="0" fontId="36" fillId="9" borderId="25" xfId="0" applyFont="1" applyFill="1" applyBorder="1" applyAlignment="1">
      <alignment horizontal="center"/>
    </xf>
    <xf numFmtId="0" fontId="36" fillId="9" borderId="23" xfId="0" applyFont="1" applyFill="1" applyBorder="1" applyAlignment="1">
      <alignment horizontal="center"/>
    </xf>
    <xf numFmtId="0" fontId="45" fillId="0" borderId="5" xfId="0" applyFont="1" applyFill="1" applyBorder="1" applyAlignment="1">
      <alignment horizontal="center"/>
    </xf>
    <xf numFmtId="0" fontId="45" fillId="0" borderId="0" xfId="0" applyFont="1" applyFill="1" applyBorder="1" applyAlignment="1">
      <alignment horizontal="center"/>
    </xf>
    <xf numFmtId="0" fontId="38" fillId="2" borderId="5" xfId="0" applyFont="1" applyFill="1" applyBorder="1" applyAlignment="1">
      <alignment horizontal="left" indent="2"/>
    </xf>
    <xf numFmtId="0" fontId="38" fillId="2" borderId="0" xfId="0" applyFont="1" applyFill="1" applyBorder="1" applyAlignment="1">
      <alignment horizontal="left" indent="2"/>
    </xf>
    <xf numFmtId="0" fontId="8" fillId="8" borderId="2" xfId="0" applyFont="1" applyFill="1" applyBorder="1" applyAlignment="1">
      <alignment horizontal="center" vertical="top" wrapText="1"/>
    </xf>
    <xf numFmtId="0" fontId="8" fillId="8" borderId="38" xfId="0" applyFont="1" applyFill="1" applyBorder="1" applyAlignment="1">
      <alignment horizontal="center" vertical="top" wrapText="1"/>
    </xf>
    <xf numFmtId="0" fontId="6" fillId="3" borderId="13" xfId="0" applyFont="1" applyFill="1" applyBorder="1" applyAlignment="1">
      <alignment horizontal="right" vertical="top" wrapText="1" indent="2"/>
    </xf>
    <xf numFmtId="0" fontId="6" fillId="3" borderId="1" xfId="0" applyFont="1" applyFill="1" applyBorder="1" applyAlignment="1">
      <alignment horizontal="right" vertical="top" wrapText="1" indent="2"/>
    </xf>
    <xf numFmtId="0" fontId="6" fillId="3" borderId="14" xfId="0" applyFont="1" applyFill="1" applyBorder="1" applyAlignment="1">
      <alignment horizontal="right" vertical="top" wrapText="1" indent="2"/>
    </xf>
    <xf numFmtId="0" fontId="3" fillId="8" borderId="13" xfId="0" applyFont="1" applyFill="1" applyBorder="1" applyAlignment="1">
      <alignment horizontal="right" vertical="top" wrapText="1" indent="1"/>
    </xf>
    <xf numFmtId="0" fontId="3" fillId="8" borderId="19" xfId="0" applyFont="1" applyFill="1" applyBorder="1" applyAlignment="1">
      <alignment horizontal="right" vertical="top" wrapText="1" indent="1"/>
    </xf>
    <xf numFmtId="0" fontId="6" fillId="3" borderId="10" xfId="0" applyFont="1" applyFill="1" applyBorder="1" applyAlignment="1">
      <alignment horizontal="left" vertical="center" wrapText="1"/>
    </xf>
    <xf numFmtId="0" fontId="6" fillId="3" borderId="11" xfId="0" applyFont="1" applyFill="1" applyBorder="1" applyAlignment="1">
      <alignment horizontal="left" vertical="center" wrapText="1"/>
    </xf>
    <xf numFmtId="0" fontId="6" fillId="3" borderId="12" xfId="0" applyFont="1" applyFill="1" applyBorder="1" applyAlignment="1">
      <alignment horizontal="left" vertical="center" wrapText="1"/>
    </xf>
    <xf numFmtId="0" fontId="3" fillId="0" borderId="22" xfId="0" applyFont="1" applyFill="1" applyBorder="1" applyAlignment="1">
      <alignment horizontal="center" wrapText="1"/>
    </xf>
    <xf numFmtId="0" fontId="3" fillId="0" borderId="34" xfId="0" applyFont="1" applyFill="1" applyBorder="1" applyAlignment="1">
      <alignment horizontal="center" wrapText="1"/>
    </xf>
    <xf numFmtId="0" fontId="30" fillId="8" borderId="20" xfId="0" applyFont="1" applyFill="1" applyBorder="1" applyAlignment="1">
      <alignment horizontal="right" vertical="top" wrapText="1" indent="1"/>
    </xf>
    <xf numFmtId="0" fontId="30" fillId="8" borderId="13" xfId="0" applyFont="1" applyFill="1" applyBorder="1" applyAlignment="1">
      <alignment horizontal="right" vertical="top" wrapText="1" indent="1"/>
    </xf>
    <xf numFmtId="0" fontId="31" fillId="8" borderId="7" xfId="0" applyFont="1" applyFill="1" applyBorder="1" applyAlignment="1">
      <alignment horizontal="center" vertical="top" wrapText="1"/>
    </xf>
    <xf numFmtId="0" fontId="31" fillId="8" borderId="40" xfId="0" applyFont="1" applyFill="1" applyBorder="1" applyAlignment="1">
      <alignment horizontal="center" vertical="top" wrapText="1"/>
    </xf>
    <xf numFmtId="0" fontId="3" fillId="4" borderId="22" xfId="0" applyFont="1" applyFill="1" applyBorder="1" applyAlignment="1">
      <alignment horizontal="center" wrapText="1"/>
    </xf>
    <xf numFmtId="0" fontId="3" fillId="4" borderId="23" xfId="0" applyFont="1" applyFill="1" applyBorder="1" applyAlignment="1">
      <alignment horizontal="center" wrapText="1"/>
    </xf>
    <xf numFmtId="0" fontId="3" fillId="5" borderId="22" xfId="0" applyFont="1" applyFill="1" applyBorder="1" applyAlignment="1">
      <alignment horizontal="center" wrapText="1"/>
    </xf>
    <xf numFmtId="0" fontId="3" fillId="5" borderId="23" xfId="0" applyFont="1" applyFill="1" applyBorder="1" applyAlignment="1">
      <alignment horizontal="center" wrapText="1"/>
    </xf>
    <xf numFmtId="0" fontId="3" fillId="8" borderId="19" xfId="0" applyFont="1" applyFill="1" applyBorder="1" applyAlignment="1">
      <alignment horizontal="left" vertical="top" wrapText="1"/>
    </xf>
    <xf numFmtId="0" fontId="3" fillId="8" borderId="36" xfId="0" applyFont="1" applyFill="1" applyBorder="1" applyAlignment="1">
      <alignment horizontal="left" vertical="top" wrapText="1"/>
    </xf>
    <xf numFmtId="0" fontId="30" fillId="8" borderId="36" xfId="0" applyFont="1" applyFill="1" applyBorder="1" applyAlignment="1">
      <alignment horizontal="left" vertical="top" wrapText="1"/>
    </xf>
    <xf numFmtId="0" fontId="30" fillId="8" borderId="20" xfId="0" applyFont="1" applyFill="1" applyBorder="1" applyAlignment="1">
      <alignment horizontal="left" vertical="top" wrapText="1"/>
    </xf>
    <xf numFmtId="0" fontId="30" fillId="0" borderId="5" xfId="0" applyFont="1" applyFill="1" applyBorder="1" applyAlignment="1">
      <alignment horizontal="left"/>
    </xf>
    <xf numFmtId="0" fontId="30" fillId="0" borderId="0" xfId="0" applyFont="1" applyFill="1" applyBorder="1" applyAlignment="1">
      <alignment horizontal="left"/>
    </xf>
    <xf numFmtId="0" fontId="30" fillId="0" borderId="5" xfId="0" applyFont="1" applyFill="1" applyBorder="1" applyAlignment="1">
      <alignment horizontal="left" wrapText="1"/>
    </xf>
    <xf numFmtId="0" fontId="30" fillId="0" borderId="0" xfId="0" applyFont="1" applyFill="1" applyBorder="1" applyAlignment="1">
      <alignment horizontal="left" wrapText="1"/>
    </xf>
    <xf numFmtId="0" fontId="31" fillId="0" borderId="22" xfId="0" applyFont="1" applyFill="1" applyBorder="1" applyAlignment="1">
      <alignment horizontal="center" vertical="center" wrapText="1"/>
    </xf>
    <xf numFmtId="0" fontId="8" fillId="0" borderId="25" xfId="0" applyFont="1" applyFill="1" applyBorder="1" applyAlignment="1">
      <alignment horizontal="center" vertical="center" wrapText="1"/>
    </xf>
    <xf numFmtId="0" fontId="8" fillId="0" borderId="23" xfId="0" applyFont="1" applyFill="1" applyBorder="1" applyAlignment="1">
      <alignment horizontal="center" vertical="center" wrapText="1"/>
    </xf>
    <xf numFmtId="0" fontId="8" fillId="0" borderId="1" xfId="0" applyFont="1" applyFill="1" applyBorder="1" applyAlignment="1">
      <alignment horizontal="left" vertical="center"/>
    </xf>
    <xf numFmtId="0" fontId="3" fillId="0" borderId="1" xfId="0" applyFont="1" applyFill="1" applyBorder="1" applyAlignment="1">
      <alignment horizontal="center" vertical="center" wrapText="1"/>
    </xf>
    <xf numFmtId="0" fontId="3" fillId="0" borderId="1" xfId="0" applyFont="1" applyFill="1" applyBorder="1" applyAlignment="1">
      <alignment vertical="center" wrapText="1"/>
    </xf>
    <xf numFmtId="0" fontId="3" fillId="0" borderId="1" xfId="0" applyFont="1" applyFill="1" applyBorder="1" applyAlignment="1">
      <alignment vertical="center"/>
    </xf>
    <xf numFmtId="0" fontId="8" fillId="0" borderId="15" xfId="0" applyFont="1" applyFill="1" applyBorder="1" applyAlignment="1">
      <alignment vertical="center" wrapText="1"/>
    </xf>
    <xf numFmtId="0" fontId="8" fillId="0" borderId="17" xfId="0" applyFont="1" applyFill="1" applyBorder="1" applyAlignment="1">
      <alignment vertical="center"/>
    </xf>
    <xf numFmtId="0" fontId="8" fillId="0" borderId="15" xfId="0" applyFont="1" applyFill="1" applyBorder="1" applyAlignment="1">
      <alignment horizontal="left" vertical="center"/>
    </xf>
    <xf numFmtId="0" fontId="8" fillId="0" borderId="17" xfId="0" applyFont="1" applyFill="1" applyBorder="1" applyAlignment="1">
      <alignment horizontal="left" vertical="center"/>
    </xf>
    <xf numFmtId="0" fontId="8" fillId="0" borderId="1" xfId="0" applyFont="1" applyFill="1" applyBorder="1" applyAlignment="1">
      <alignment horizontal="center" vertical="center" wrapText="1"/>
    </xf>
    <xf numFmtId="0" fontId="3" fillId="0" borderId="1" xfId="0" applyFont="1" applyFill="1" applyBorder="1" applyAlignment="1">
      <alignment horizontal="left" vertical="center"/>
    </xf>
    <xf numFmtId="0" fontId="6" fillId="2" borderId="45" xfId="0" applyFont="1" applyFill="1" applyBorder="1" applyAlignment="1">
      <alignment horizontal="left" vertical="center" wrapText="1"/>
    </xf>
    <xf numFmtId="0" fontId="6" fillId="2" borderId="24" xfId="0" applyFont="1" applyFill="1" applyBorder="1" applyAlignment="1">
      <alignment horizontal="left" vertical="center" wrapText="1"/>
    </xf>
    <xf numFmtId="0" fontId="6" fillId="2" borderId="46" xfId="0" applyFont="1" applyFill="1" applyBorder="1" applyAlignment="1">
      <alignment horizontal="left" vertical="center" wrapText="1"/>
    </xf>
    <xf numFmtId="0" fontId="8" fillId="0" borderId="1" xfId="0" applyFont="1" applyFill="1" applyBorder="1" applyAlignment="1">
      <alignment vertical="center" wrapText="1"/>
    </xf>
    <xf numFmtId="0" fontId="8" fillId="0" borderId="17" xfId="0" applyFont="1" applyFill="1" applyBorder="1" applyAlignment="1">
      <alignment vertical="center" wrapText="1"/>
    </xf>
    <xf numFmtId="0" fontId="8" fillId="0" borderId="1" xfId="0" applyFont="1" applyFill="1" applyBorder="1" applyAlignment="1">
      <alignment vertical="center"/>
    </xf>
    <xf numFmtId="0" fontId="3" fillId="0" borderId="0" xfId="0" applyFont="1" applyFill="1" applyBorder="1" applyAlignment="1">
      <alignment horizontal="left" vertical="center"/>
    </xf>
    <xf numFmtId="0" fontId="3" fillId="5" borderId="2" xfId="0" applyFont="1" applyFill="1" applyBorder="1" applyAlignment="1">
      <alignment horizontal="center" vertical="center" wrapText="1"/>
    </xf>
    <xf numFmtId="0" fontId="3" fillId="5" borderId="4" xfId="0" applyFont="1" applyFill="1" applyBorder="1" applyAlignment="1">
      <alignment horizontal="center" vertical="center" wrapText="1"/>
    </xf>
    <xf numFmtId="0" fontId="8" fillId="0" borderId="15" xfId="0" applyFont="1" applyFill="1" applyBorder="1" applyAlignment="1">
      <alignment horizontal="left" vertical="center" wrapText="1"/>
    </xf>
    <xf numFmtId="0" fontId="8" fillId="0" borderId="17" xfId="0" applyFont="1" applyFill="1" applyBorder="1" applyAlignment="1">
      <alignment horizontal="left" vertical="center" wrapText="1"/>
    </xf>
    <xf numFmtId="0" fontId="8" fillId="0" borderId="15" xfId="0" applyFont="1" applyFill="1" applyBorder="1" applyAlignment="1">
      <alignment horizontal="left" vertical="center" wrapText="1" indent="1"/>
    </xf>
    <xf numFmtId="0" fontId="8" fillId="0" borderId="17" xfId="0" applyFont="1" applyFill="1" applyBorder="1" applyAlignment="1">
      <alignment horizontal="left" vertical="center" wrapText="1" indent="1"/>
    </xf>
    <xf numFmtId="0" fontId="8" fillId="0" borderId="17" xfId="0" applyFont="1" applyFill="1" applyBorder="1" applyAlignment="1">
      <alignment horizontal="left" vertical="center" indent="1"/>
    </xf>
    <xf numFmtId="0" fontId="6" fillId="2" borderId="22" xfId="0" applyFont="1" applyFill="1" applyBorder="1" applyAlignment="1">
      <alignment horizontal="left" vertical="center" wrapText="1"/>
    </xf>
    <xf numFmtId="0" fontId="6" fillId="2" borderId="25" xfId="0" applyFont="1" applyFill="1" applyBorder="1" applyAlignment="1">
      <alignment horizontal="left" vertical="center" wrapText="1"/>
    </xf>
    <xf numFmtId="0" fontId="3" fillId="0" borderId="15" xfId="0" applyFont="1" applyFill="1" applyBorder="1" applyAlignment="1">
      <alignment horizontal="center" vertical="center" wrapText="1"/>
    </xf>
    <xf numFmtId="0" fontId="3" fillId="0" borderId="17" xfId="0" applyFont="1" applyFill="1" applyBorder="1" applyAlignment="1">
      <alignment horizontal="center" vertical="center"/>
    </xf>
    <xf numFmtId="0" fontId="3" fillId="0" borderId="17"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26" fillId="0" borderId="0" xfId="0" applyFont="1" applyFill="1" applyBorder="1" applyAlignment="1">
      <alignment horizontal="left" wrapText="1"/>
    </xf>
    <xf numFmtId="0" fontId="3" fillId="0" borderId="1" xfId="0" applyFont="1" applyFill="1" applyBorder="1" applyAlignment="1">
      <alignment horizontal="center"/>
    </xf>
    <xf numFmtId="173" fontId="8" fillId="0" borderId="1" xfId="0" applyNumberFormat="1" applyFont="1" applyFill="1" applyBorder="1" applyAlignment="1">
      <alignment horizontal="center"/>
    </xf>
    <xf numFmtId="0" fontId="3" fillId="8" borderId="2" xfId="0" applyFont="1" applyFill="1" applyBorder="1" applyAlignment="1">
      <alignment horizontal="center" wrapText="1"/>
    </xf>
    <xf numFmtId="0" fontId="3" fillId="8" borderId="38" xfId="0" applyFont="1" applyFill="1" applyBorder="1" applyAlignment="1">
      <alignment horizontal="center" wrapText="1"/>
    </xf>
    <xf numFmtId="173" fontId="3" fillId="0" borderId="1" xfId="0" applyNumberFormat="1" applyFont="1" applyFill="1" applyBorder="1" applyAlignment="1">
      <alignment horizontal="center"/>
    </xf>
    <xf numFmtId="0" fontId="6" fillId="8" borderId="15" xfId="0" applyFont="1" applyFill="1" applyBorder="1" applyAlignment="1">
      <alignment horizontal="justify" vertical="top" wrapText="1"/>
    </xf>
    <xf numFmtId="0" fontId="6" fillId="8" borderId="35" xfId="0" applyFont="1" applyFill="1" applyBorder="1" applyAlignment="1">
      <alignment horizontal="justify" vertical="top"/>
    </xf>
    <xf numFmtId="0" fontId="8" fillId="0" borderId="15" xfId="0" applyFont="1" applyFill="1" applyBorder="1" applyAlignment="1">
      <alignment horizontal="center" vertical="center" wrapText="1"/>
    </xf>
    <xf numFmtId="0" fontId="8" fillId="0" borderId="35" xfId="0" applyFont="1" applyFill="1" applyBorder="1" applyAlignment="1">
      <alignment horizontal="center" vertical="center" wrapText="1"/>
    </xf>
    <xf numFmtId="0" fontId="8" fillId="0" borderId="26" xfId="0" applyFont="1" applyFill="1" applyBorder="1" applyAlignment="1">
      <alignment horizontal="center" vertical="center" wrapText="1"/>
    </xf>
    <xf numFmtId="0" fontId="3" fillId="8" borderId="15" xfId="0" applyFont="1" applyFill="1" applyBorder="1" applyAlignment="1">
      <alignment horizontal="justify" vertical="top" wrapText="1"/>
    </xf>
    <xf numFmtId="0" fontId="3" fillId="8" borderId="35" xfId="0" applyFont="1" applyFill="1" applyBorder="1" applyAlignment="1">
      <alignment horizontal="justify" vertical="top" wrapText="1"/>
    </xf>
    <xf numFmtId="0" fontId="3" fillId="0" borderId="35" xfId="0" applyFont="1" applyFill="1" applyBorder="1" applyAlignment="1">
      <alignment horizontal="center" vertical="center" wrapText="1"/>
    </xf>
    <xf numFmtId="0" fontId="30" fillId="8" borderId="7" xfId="0" applyFont="1" applyFill="1" applyBorder="1" applyAlignment="1">
      <alignment horizontal="center" wrapText="1"/>
    </xf>
    <xf numFmtId="0" fontId="30" fillId="8" borderId="40" xfId="0" applyFont="1" applyFill="1" applyBorder="1" applyAlignment="1">
      <alignment horizontal="center" wrapText="1"/>
    </xf>
    <xf numFmtId="0" fontId="3" fillId="0" borderId="15" xfId="0" applyFont="1" applyFill="1" applyBorder="1" applyAlignment="1">
      <alignment horizontal="center"/>
    </xf>
    <xf numFmtId="0" fontId="3" fillId="0" borderId="17" xfId="0" applyFont="1" applyFill="1" applyBorder="1" applyAlignment="1">
      <alignment horizontal="center"/>
    </xf>
    <xf numFmtId="0" fontId="32" fillId="0" borderId="43" xfId="0" applyFont="1" applyFill="1" applyBorder="1" applyAlignment="1">
      <alignment horizontal="left" wrapText="1"/>
    </xf>
    <xf numFmtId="0" fontId="3" fillId="0" borderId="19" xfId="0" applyFont="1" applyFill="1" applyBorder="1" applyAlignment="1">
      <alignment horizontal="center" vertical="top"/>
    </xf>
    <xf numFmtId="0" fontId="3" fillId="0" borderId="36" xfId="0" applyFont="1" applyFill="1" applyBorder="1" applyAlignment="1">
      <alignment horizontal="center" vertical="top"/>
    </xf>
    <xf numFmtId="0" fontId="3" fillId="0" borderId="20" xfId="0" applyFont="1" applyFill="1" applyBorder="1" applyAlignment="1">
      <alignment horizontal="center" vertical="top"/>
    </xf>
    <xf numFmtId="0" fontId="37" fillId="0" borderId="0" xfId="1" applyFont="1" applyFill="1" applyBorder="1" applyAlignment="1" applyProtection="1">
      <alignment horizontal="left"/>
    </xf>
    <xf numFmtId="0" fontId="6" fillId="3" borderId="11" xfId="0" applyFont="1" applyFill="1" applyBorder="1" applyAlignment="1">
      <alignment horizontal="left" vertical="center"/>
    </xf>
    <xf numFmtId="0" fontId="6" fillId="3" borderId="12" xfId="0" applyFont="1" applyFill="1" applyBorder="1" applyAlignment="1">
      <alignment horizontal="left" vertical="center"/>
    </xf>
    <xf numFmtId="0" fontId="8" fillId="3" borderId="1" xfId="0" applyFont="1" applyFill="1" applyBorder="1" applyAlignment="1">
      <alignment horizontal="center" vertical="center" wrapText="1"/>
    </xf>
    <xf numFmtId="0" fontId="8" fillId="3" borderId="14" xfId="0" applyFont="1" applyFill="1" applyBorder="1" applyAlignment="1">
      <alignment horizontal="center" vertical="center"/>
    </xf>
    <xf numFmtId="0" fontId="3" fillId="0" borderId="47" xfId="0" applyFont="1" applyFill="1" applyBorder="1" applyAlignment="1">
      <alignment horizontal="right" vertical="center" wrapText="1"/>
    </xf>
    <xf numFmtId="0" fontId="3" fillId="0" borderId="25" xfId="0" applyFont="1" applyFill="1" applyBorder="1" applyAlignment="1">
      <alignment horizontal="right" vertical="center" wrapText="1"/>
    </xf>
    <xf numFmtId="0" fontId="3" fillId="0" borderId="23" xfId="0" applyFont="1" applyFill="1" applyBorder="1" applyAlignment="1">
      <alignment horizontal="right" vertical="center" wrapText="1"/>
    </xf>
    <xf numFmtId="0" fontId="3" fillId="0" borderId="19" xfId="0" applyFont="1" applyFill="1" applyBorder="1" applyAlignment="1">
      <alignment horizontal="center"/>
    </xf>
    <xf numFmtId="0" fontId="3" fillId="0" borderId="20" xfId="0" applyFont="1" applyFill="1" applyBorder="1" applyAlignment="1">
      <alignment horizontal="center"/>
    </xf>
    <xf numFmtId="0" fontId="3" fillId="0" borderId="41" xfId="0" applyFont="1" applyFill="1" applyBorder="1" applyAlignment="1">
      <alignment horizontal="center" vertical="top"/>
    </xf>
    <xf numFmtId="0" fontId="8" fillId="8" borderId="15" xfId="0" applyFont="1" applyFill="1" applyBorder="1" applyAlignment="1">
      <alignment horizontal="justify" vertical="top" wrapText="1"/>
    </xf>
    <xf numFmtId="0" fontId="8" fillId="8" borderId="35" xfId="0" applyFont="1" applyFill="1" applyBorder="1" applyAlignment="1">
      <alignment horizontal="justify" vertical="top" wrapText="1"/>
    </xf>
    <xf numFmtId="0" fontId="8" fillId="0" borderId="17" xfId="0" applyFont="1" applyFill="1" applyBorder="1" applyAlignment="1">
      <alignment horizontal="center" vertical="center" wrapText="1"/>
    </xf>
    <xf numFmtId="0" fontId="29" fillId="8" borderId="35" xfId="0" applyFont="1" applyFill="1" applyBorder="1" applyAlignment="1">
      <alignment horizontal="left" vertical="top" wrapText="1"/>
    </xf>
    <xf numFmtId="0" fontId="29" fillId="8" borderId="26" xfId="0" applyFont="1" applyFill="1" applyBorder="1" applyAlignment="1">
      <alignment horizontal="left" vertical="top" wrapText="1"/>
    </xf>
    <xf numFmtId="0" fontId="8" fillId="3" borderId="22" xfId="0" applyFont="1" applyFill="1" applyBorder="1" applyAlignment="1">
      <alignment horizontal="center" wrapText="1"/>
    </xf>
    <xf numFmtId="0" fontId="8" fillId="3" borderId="34" xfId="0" applyFont="1" applyFill="1" applyBorder="1" applyAlignment="1">
      <alignment horizontal="center" wrapText="1"/>
    </xf>
    <xf numFmtId="0" fontId="3" fillId="3" borderId="1" xfId="0" applyFont="1" applyFill="1" applyBorder="1" applyAlignment="1">
      <alignment horizontal="center" wrapText="1"/>
    </xf>
    <xf numFmtId="0" fontId="3" fillId="3" borderId="1" xfId="0" applyFont="1" applyFill="1" applyBorder="1" applyAlignment="1">
      <alignment horizontal="center"/>
    </xf>
    <xf numFmtId="0" fontId="3" fillId="8" borderId="15" xfId="0" applyFont="1" applyFill="1" applyBorder="1" applyAlignment="1">
      <alignment horizontal="left" vertical="top" wrapText="1"/>
    </xf>
    <xf numFmtId="0" fontId="3" fillId="8" borderId="35" xfId="0" applyFont="1" applyFill="1" applyBorder="1" applyAlignment="1">
      <alignment horizontal="left" vertical="top" wrapText="1"/>
    </xf>
    <xf numFmtId="0" fontId="3" fillId="0" borderId="2"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9" xfId="0" applyFont="1" applyFill="1" applyBorder="1" applyAlignment="1">
      <alignment horizontal="center" vertical="center"/>
    </xf>
    <xf numFmtId="0" fontId="29" fillId="8" borderId="17" xfId="0" applyFont="1" applyFill="1" applyBorder="1" applyAlignment="1">
      <alignment horizontal="left" vertical="top" wrapText="1"/>
    </xf>
    <xf numFmtId="0" fontId="30" fillId="8" borderId="35" xfId="0" applyFont="1" applyFill="1" applyBorder="1" applyAlignment="1">
      <alignment horizontal="left" vertical="top" wrapText="1"/>
    </xf>
    <xf numFmtId="0" fontId="30" fillId="8" borderId="17" xfId="0" applyFont="1" applyFill="1" applyBorder="1" applyAlignment="1">
      <alignment horizontal="left" vertical="top" wrapText="1"/>
    </xf>
    <xf numFmtId="0" fontId="26" fillId="0" borderId="44" xfId="0" applyFont="1" applyFill="1" applyBorder="1" applyAlignment="1">
      <alignment horizontal="left" wrapText="1"/>
    </xf>
    <xf numFmtId="0" fontId="3" fillId="3" borderId="1" xfId="0" applyFont="1" applyFill="1" applyBorder="1" applyAlignment="1">
      <alignment horizontal="center" vertical="top" wrapText="1"/>
    </xf>
    <xf numFmtId="0" fontId="3" fillId="3" borderId="1" xfId="0" applyFont="1" applyFill="1" applyBorder="1" applyAlignment="1">
      <alignment horizontal="center" vertical="top"/>
    </xf>
    <xf numFmtId="0" fontId="8" fillId="3" borderId="1" xfId="0" applyFont="1" applyFill="1" applyBorder="1" applyAlignment="1">
      <alignment horizontal="center" vertical="top" wrapText="1"/>
    </xf>
    <xf numFmtId="0" fontId="8" fillId="3" borderId="14" xfId="0" applyFont="1" applyFill="1" applyBorder="1" applyAlignment="1">
      <alignment horizontal="center" vertical="top"/>
    </xf>
    <xf numFmtId="0" fontId="3" fillId="0" borderId="2"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17" fillId="0" borderId="19" xfId="0" applyFont="1" applyFill="1" applyBorder="1" applyAlignment="1">
      <alignment horizontal="center" vertical="top"/>
    </xf>
    <xf numFmtId="0" fontId="17" fillId="0" borderId="36" xfId="0" applyFont="1" applyFill="1" applyBorder="1" applyAlignment="1">
      <alignment horizontal="center" vertical="top"/>
    </xf>
    <xf numFmtId="0" fontId="17" fillId="0" borderId="20" xfId="0" applyFont="1" applyFill="1" applyBorder="1" applyAlignment="1">
      <alignment horizontal="center" vertical="top"/>
    </xf>
    <xf numFmtId="0" fontId="17" fillId="0" borderId="13" xfId="0" applyFont="1" applyFill="1" applyBorder="1" applyAlignment="1">
      <alignment horizontal="center" vertical="top"/>
    </xf>
    <xf numFmtId="0" fontId="16" fillId="0" borderId="1" xfId="0" applyFont="1" applyFill="1" applyBorder="1" applyAlignment="1">
      <alignment horizontal="center" vertical="center" wrapText="1"/>
    </xf>
    <xf numFmtId="0" fontId="3" fillId="6" borderId="22" xfId="0" applyFont="1" applyFill="1" applyBorder="1" applyAlignment="1">
      <alignment horizontal="center"/>
    </xf>
    <xf numFmtId="0" fontId="3" fillId="6" borderId="23" xfId="0" applyFont="1" applyFill="1" applyBorder="1" applyAlignment="1">
      <alignment horizontal="center"/>
    </xf>
    <xf numFmtId="0" fontId="3" fillId="0" borderId="22" xfId="0" applyFont="1" applyFill="1" applyBorder="1" applyAlignment="1">
      <alignment horizontal="center"/>
    </xf>
    <xf numFmtId="0" fontId="3" fillId="0" borderId="23" xfId="0" applyFont="1" applyFill="1" applyBorder="1" applyAlignment="1">
      <alignment horizontal="center"/>
    </xf>
    <xf numFmtId="2" fontId="3" fillId="4" borderId="22" xfId="0" applyNumberFormat="1" applyFont="1" applyFill="1" applyBorder="1" applyAlignment="1">
      <alignment horizontal="center" wrapText="1"/>
    </xf>
    <xf numFmtId="2" fontId="3" fillId="4" borderId="23" xfId="0" applyNumberFormat="1" applyFont="1" applyFill="1" applyBorder="1" applyAlignment="1">
      <alignment horizontal="center" wrapText="1"/>
    </xf>
    <xf numFmtId="2" fontId="3" fillId="6" borderId="22" xfId="0" applyNumberFormat="1" applyFont="1" applyFill="1" applyBorder="1" applyAlignment="1">
      <alignment horizontal="center"/>
    </xf>
    <xf numFmtId="2" fontId="3" fillId="6" borderId="23" xfId="0" applyNumberFormat="1" applyFont="1" applyFill="1" applyBorder="1" applyAlignment="1">
      <alignment horizontal="center"/>
    </xf>
    <xf numFmtId="164" fontId="8" fillId="4" borderId="22" xfId="0" applyNumberFormat="1" applyFont="1" applyFill="1" applyBorder="1" applyAlignment="1">
      <alignment horizontal="center"/>
    </xf>
    <xf numFmtId="164" fontId="8" fillId="4" borderId="23" xfId="0" applyNumberFormat="1" applyFont="1" applyFill="1" applyBorder="1" applyAlignment="1">
      <alignment horizontal="center"/>
    </xf>
    <xf numFmtId="164" fontId="3" fillId="0" borderId="48" xfId="0" applyNumberFormat="1" applyFont="1" applyFill="1" applyBorder="1" applyAlignment="1">
      <alignment horizontal="center"/>
    </xf>
    <xf numFmtId="164" fontId="3" fillId="0" borderId="49" xfId="0" applyNumberFormat="1" applyFont="1" applyFill="1" applyBorder="1" applyAlignment="1">
      <alignment horizontal="center"/>
    </xf>
    <xf numFmtId="0" fontId="48" fillId="8" borderId="3" xfId="0" applyFont="1" applyFill="1" applyBorder="1" applyAlignment="1">
      <alignment horizontal="left" vertical="top" wrapText="1"/>
    </xf>
    <xf numFmtId="0" fontId="48" fillId="8" borderId="0" xfId="0" applyFont="1" applyFill="1" applyBorder="1" applyAlignment="1">
      <alignment horizontal="left" vertical="top" wrapText="1"/>
    </xf>
    <xf numFmtId="0" fontId="48" fillId="8" borderId="15" xfId="0" applyFont="1" applyFill="1" applyBorder="1" applyAlignment="1">
      <alignment horizontal="left" vertical="top" wrapText="1"/>
    </xf>
    <xf numFmtId="0" fontId="48" fillId="8" borderId="35" xfId="0" applyFont="1" applyFill="1" applyBorder="1" applyAlignment="1">
      <alignment horizontal="left" vertical="top" wrapText="1"/>
    </xf>
    <xf numFmtId="0" fontId="48" fillId="0" borderId="2" xfId="0" applyFont="1" applyFill="1" applyBorder="1" applyAlignment="1">
      <alignment horizontal="center" vertical="center" wrapText="1"/>
    </xf>
    <xf numFmtId="0" fontId="48" fillId="0" borderId="4" xfId="0" applyFont="1" applyFill="1" applyBorder="1" applyAlignment="1">
      <alignment horizontal="center" vertical="center" wrapText="1"/>
    </xf>
    <xf numFmtId="0" fontId="48" fillId="0" borderId="5" xfId="0" applyFont="1" applyFill="1" applyBorder="1" applyAlignment="1">
      <alignment horizontal="center" vertical="center" wrapText="1"/>
    </xf>
    <xf numFmtId="0" fontId="48" fillId="0" borderId="6" xfId="0" applyFont="1" applyFill="1" applyBorder="1" applyAlignment="1">
      <alignment horizontal="center" vertical="center" wrapText="1"/>
    </xf>
    <xf numFmtId="0" fontId="48" fillId="0" borderId="7" xfId="0" applyFont="1" applyFill="1" applyBorder="1" applyAlignment="1">
      <alignment horizontal="center" vertical="center" wrapText="1"/>
    </xf>
    <xf numFmtId="0" fontId="48" fillId="0" borderId="9" xfId="0" applyFont="1" applyFill="1" applyBorder="1" applyAlignment="1">
      <alignment horizontal="center" vertical="center" wrapText="1"/>
    </xf>
    <xf numFmtId="0" fontId="8" fillId="8" borderId="15" xfId="0" applyFont="1" applyFill="1" applyBorder="1" applyAlignment="1">
      <alignment horizontal="center" vertical="center"/>
    </xf>
    <xf numFmtId="0" fontId="8" fillId="8" borderId="17" xfId="0" applyFont="1" applyFill="1" applyBorder="1" applyAlignment="1">
      <alignment horizontal="center" vertical="center"/>
    </xf>
    <xf numFmtId="0" fontId="8" fillId="3" borderId="1" xfId="0" applyFont="1" applyFill="1" applyBorder="1" applyAlignment="1">
      <alignment horizontal="center" wrapText="1"/>
    </xf>
    <xf numFmtId="0" fontId="8" fillId="3" borderId="14" xfId="0" applyFont="1" applyFill="1" applyBorder="1" applyAlignment="1">
      <alignment horizontal="center"/>
    </xf>
    <xf numFmtId="0" fontId="3" fillId="5" borderId="32" xfId="0" applyFont="1" applyFill="1" applyBorder="1" applyAlignment="1">
      <alignment horizontal="center" wrapText="1"/>
    </xf>
    <xf numFmtId="0" fontId="3" fillId="5" borderId="33" xfId="0" applyFont="1" applyFill="1" applyBorder="1" applyAlignment="1">
      <alignment horizontal="center" wrapText="1"/>
    </xf>
    <xf numFmtId="0" fontId="8" fillId="8" borderId="35" xfId="0" applyFont="1" applyFill="1" applyBorder="1" applyAlignment="1">
      <alignment horizontal="center" vertical="center"/>
    </xf>
    <xf numFmtId="0" fontId="6" fillId="8" borderId="22" xfId="0" applyFont="1" applyFill="1" applyBorder="1" applyAlignment="1">
      <alignment horizontal="left" vertical="top" wrapText="1"/>
    </xf>
    <xf numFmtId="0" fontId="6" fillId="8" borderId="23" xfId="0" applyFont="1" applyFill="1" applyBorder="1" applyAlignment="1">
      <alignment horizontal="left" vertical="top" wrapText="1"/>
    </xf>
    <xf numFmtId="0" fontId="6" fillId="8" borderId="15" xfId="0" applyFont="1" applyFill="1" applyBorder="1" applyAlignment="1">
      <alignment horizontal="left" vertical="top" wrapText="1"/>
    </xf>
    <xf numFmtId="0" fontId="3" fillId="4" borderId="32" xfId="0" applyFont="1" applyFill="1" applyBorder="1" applyAlignment="1">
      <alignment horizontal="center" wrapText="1"/>
    </xf>
    <xf numFmtId="0" fontId="3" fillId="4" borderId="33" xfId="0" applyFont="1" applyFill="1" applyBorder="1" applyAlignment="1">
      <alignment horizontal="center" wrapText="1"/>
    </xf>
    <xf numFmtId="169" fontId="30" fillId="5" borderId="37" xfId="0" applyNumberFormat="1" applyFont="1" applyFill="1" applyBorder="1" applyAlignment="1">
      <alignment horizontal="center" vertical="center" wrapText="1"/>
    </xf>
    <xf numFmtId="0" fontId="30" fillId="4" borderId="35" xfId="0" applyFont="1" applyFill="1" applyBorder="1" applyAlignment="1">
      <alignment horizontal="center" vertical="center" wrapText="1"/>
    </xf>
    <xf numFmtId="0" fontId="3" fillId="0" borderId="13" xfId="0" applyFont="1" applyFill="1" applyBorder="1" applyAlignment="1">
      <alignment horizontal="center" vertical="top"/>
    </xf>
    <xf numFmtId="0" fontId="3" fillId="0" borderId="21" xfId="0" applyFont="1" applyFill="1" applyBorder="1" applyAlignment="1">
      <alignment horizontal="center" vertical="top"/>
    </xf>
    <xf numFmtId="0" fontId="29" fillId="8" borderId="26" xfId="0" applyFont="1" applyFill="1" applyBorder="1" applyAlignment="1">
      <alignment horizontal="justify" vertical="top" wrapText="1"/>
    </xf>
    <xf numFmtId="0" fontId="6" fillId="8" borderId="42" xfId="0" applyFont="1" applyFill="1" applyBorder="1" applyAlignment="1">
      <alignment horizontal="justify" vertical="top" wrapText="1"/>
    </xf>
    <xf numFmtId="0" fontId="8" fillId="8" borderId="15" xfId="0" applyFont="1" applyFill="1" applyBorder="1" applyAlignment="1">
      <alignment horizontal="left" vertical="top" wrapText="1"/>
    </xf>
    <xf numFmtId="0" fontId="8" fillId="8" borderId="35" xfId="0" applyFont="1" applyFill="1" applyBorder="1" applyAlignment="1">
      <alignment horizontal="left" vertical="top" wrapText="1"/>
    </xf>
    <xf numFmtId="0" fontId="3" fillId="8" borderId="15" xfId="0" applyFont="1" applyFill="1" applyBorder="1" applyAlignment="1">
      <alignment horizontal="center" vertical="center" wrapText="1"/>
    </xf>
    <xf numFmtId="0" fontId="3" fillId="8" borderId="35" xfId="0" applyFont="1" applyFill="1" applyBorder="1" applyAlignment="1">
      <alignment horizontal="center" vertical="center" wrapText="1"/>
    </xf>
    <xf numFmtId="0" fontId="3" fillId="8" borderId="17" xfId="0" applyFont="1" applyFill="1" applyBorder="1" applyAlignment="1">
      <alignment horizontal="center" vertical="center" wrapText="1"/>
    </xf>
    <xf numFmtId="0" fontId="6" fillId="8" borderId="2" xfId="0" applyFont="1" applyFill="1" applyBorder="1" applyAlignment="1">
      <alignment horizontal="justify" vertical="top" wrapText="1"/>
    </xf>
    <xf numFmtId="0" fontId="31" fillId="8" borderId="35" xfId="0" applyFont="1" applyFill="1" applyBorder="1" applyAlignment="1">
      <alignment horizontal="left" vertical="top" wrapText="1"/>
    </xf>
    <xf numFmtId="0" fontId="31" fillId="8" borderId="17" xfId="0" applyFont="1" applyFill="1" applyBorder="1" applyAlignment="1">
      <alignment horizontal="left" vertical="top" wrapText="1"/>
    </xf>
    <xf numFmtId="0" fontId="38" fillId="2" borderId="5" xfId="0" applyFont="1" applyFill="1" applyBorder="1" applyAlignment="1">
      <alignment horizontal="center" vertical="center" wrapText="1"/>
    </xf>
    <xf numFmtId="0" fontId="38" fillId="2" borderId="0" xfId="0" applyFont="1" applyFill="1" applyBorder="1" applyAlignment="1">
      <alignment horizontal="center" vertical="center" wrapText="1"/>
    </xf>
    <xf numFmtId="0" fontId="13" fillId="0" borderId="5" xfId="0" applyFont="1" applyBorder="1" applyAlignment="1">
      <alignment horizontal="left" vertical="center"/>
    </xf>
    <xf numFmtId="0" fontId="4" fillId="0" borderId="0" xfId="1" applyFont="1" applyBorder="1" applyAlignment="1" applyProtection="1">
      <alignment horizontal="left" vertical="center"/>
    </xf>
    <xf numFmtId="0" fontId="41" fillId="0" borderId="5" xfId="0" applyFont="1" applyBorder="1" applyAlignment="1">
      <alignment horizontal="left" vertical="center"/>
    </xf>
    <xf numFmtId="0" fontId="44" fillId="0" borderId="0" xfId="1" applyFont="1" applyBorder="1" applyAlignment="1" applyProtection="1">
      <alignment horizontal="left" vertical="center"/>
    </xf>
    <xf numFmtId="0" fontId="13" fillId="0" borderId="7" xfId="0" applyFont="1" applyBorder="1" applyAlignment="1">
      <alignment horizontal="left" vertical="center"/>
    </xf>
    <xf numFmtId="0" fontId="13" fillId="0" borderId="8" xfId="0" applyFont="1" applyBorder="1" applyAlignment="1">
      <alignment horizontal="left" vertical="center"/>
    </xf>
    <xf numFmtId="164" fontId="3" fillId="4" borderId="35" xfId="0" applyNumberFormat="1" applyFont="1" applyFill="1" applyBorder="1" applyAlignment="1">
      <alignment horizontal="center" wrapText="1"/>
    </xf>
    <xf numFmtId="164" fontId="3" fillId="5" borderId="37" xfId="0" applyNumberFormat="1" applyFont="1" applyFill="1" applyBorder="1" applyAlignment="1">
      <alignment horizontal="center"/>
    </xf>
  </cellXfs>
  <cellStyles count="9">
    <cellStyle name="Hipersaitas" xfId="1" builtinId="8"/>
    <cellStyle name="Įprastas" xfId="0" builtinId="0"/>
    <cellStyle name="Įprastas 2" xfId="7" xr:uid="{001A3AA0-1EF8-4570-A7C4-DF99649CC0B0}"/>
    <cellStyle name="Įprastas 3" xfId="8" xr:uid="{00000000-0005-0000-0000-000037000000}"/>
    <cellStyle name="Normal 18" xfId="3" xr:uid="{1A4A2765-3B13-476A-B988-826493B987E5}"/>
    <cellStyle name="Normal 4" xfId="4" xr:uid="{C366F9C7-F114-4B72-8C90-9D319E9CA060}"/>
    <cellStyle name="Normal 5" xfId="5" xr:uid="{2DD1DBB4-8FD1-4DD8-8AD9-21E3254968C6}"/>
    <cellStyle name="Normal 6" xfId="2" xr:uid="{39C61853-18A8-4376-BEEE-408C39E94774}"/>
    <cellStyle name="Normal_VLK PSDFvykd" xfId="6" xr:uid="{91D00095-F419-45F2-A0D1-7330231AD8DA}"/>
  </cellStyles>
  <dxfs count="0"/>
  <tableStyles count="0" defaultTableStyle="TableStyleMedium2" defaultPivotStyle="PivotStyleLight16"/>
  <colors>
    <mruColors>
      <color rgb="FFB5DDF0"/>
      <color rgb="FFC9D6D9"/>
      <color rgb="FF47ABD9"/>
      <color rgb="FF00244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valstybeskontrole.lt/" TargetMode="External"/></Relationships>
</file>

<file path=xl/drawings/drawing1.xml><?xml version="1.0" encoding="utf-8"?>
<xdr:wsDr xmlns:xdr="http://schemas.openxmlformats.org/drawingml/2006/spreadsheetDrawing" xmlns:a="http://schemas.openxmlformats.org/drawingml/2006/main">
  <xdr:twoCellAnchor editAs="oneCell">
    <xdr:from>
      <xdr:col>3</xdr:col>
      <xdr:colOff>76200</xdr:colOff>
      <xdr:row>0</xdr:row>
      <xdr:rowOff>175260</xdr:rowOff>
    </xdr:from>
    <xdr:to>
      <xdr:col>3</xdr:col>
      <xdr:colOff>3299460</xdr:colOff>
      <xdr:row>0</xdr:row>
      <xdr:rowOff>1244091</xdr:rowOff>
    </xdr:to>
    <xdr:pic>
      <xdr:nvPicPr>
        <xdr:cNvPr id="4" name="Paveikslėlis 3" descr="https://intranetas.vkontrole.lt/sablonai/images/ZENKLAI/Zenklai-horizontalus_LT.png">
          <a:hlinkClick xmlns:r="http://schemas.openxmlformats.org/officeDocument/2006/relationships" r:id="rId1"/>
          <a:extLst>
            <a:ext uri="{FF2B5EF4-FFF2-40B4-BE49-F238E27FC236}">
              <a16:creationId xmlns:a16="http://schemas.microsoft.com/office/drawing/2014/main" id="{555C1308-D846-4E26-AD17-F4B907E31DA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62940" y="175260"/>
          <a:ext cx="3223260" cy="1068831"/>
        </a:xfrm>
        <a:prstGeom prst="rect">
          <a:avLst/>
        </a:prstGeom>
        <a:solidFill>
          <a:schemeClr val="accent1"/>
        </a:solid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583790</xdr:colOff>
      <xdr:row>20</xdr:row>
      <xdr:rowOff>163518</xdr:rowOff>
    </xdr:from>
    <xdr:to>
      <xdr:col>3</xdr:col>
      <xdr:colOff>1053387</xdr:colOff>
      <xdr:row>21</xdr:row>
      <xdr:rowOff>143387</xdr:rowOff>
    </xdr:to>
    <mc:AlternateContent xmlns:mc="http://schemas.openxmlformats.org/markup-compatibility/2006" xmlns:a14="http://schemas.microsoft.com/office/drawing/2010/main">
      <mc:Choice Requires="a14">
        <xdr:sp macro="" textlink="">
          <xdr:nvSpPr>
            <xdr:cNvPr id="4" name="TextBox 3">
              <a:extLst>
                <a:ext uri="{FF2B5EF4-FFF2-40B4-BE49-F238E27FC236}">
                  <a16:creationId xmlns:a16="http://schemas.microsoft.com/office/drawing/2014/main" id="{E7314CC0-3762-440A-B7AB-815A0381525B}"/>
                </a:ext>
              </a:extLst>
            </xdr:cNvPr>
            <xdr:cNvSpPr txBox="1"/>
          </xdr:nvSpPr>
          <xdr:spPr>
            <a:xfrm>
              <a:off x="5346290" y="7568437"/>
              <a:ext cx="469597" cy="532934"/>
            </a:xfrm>
            <a:prstGeom prst="rect">
              <a:avLst/>
            </a:prstGeom>
            <a:noFill/>
            <a:ln>
              <a:noFill/>
            </a:ln>
            <a:effectLst/>
          </xdr:spPr>
          <xdr:txBody>
            <a:bodyPr vertOverflow="clip" horzOverflow="clip" wrap="none" lIns="0" tIns="0" rIns="0" bIns="0"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nary>
                      <m:naryPr>
                        <m:chr m:val="⋃"/>
                        <m:ctrlPr>
                          <a:rPr kumimoji="0" lang="lt-LT" sz="11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ctrlPr>
                      </m:naryPr>
                      <m:sub>
                        <m:r>
                          <m:rPr>
                            <m:brk m:alnAt="23"/>
                          </m:rPr>
                          <a:rPr kumimoji="0" lang="lt-LT" sz="11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𝑖</m:t>
                        </m:r>
                        <m:r>
                          <a:rPr kumimoji="0" lang="en-US" sz="11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=1</m:t>
                        </m:r>
                      </m:sub>
                      <m:sup>
                        <m:r>
                          <a:rPr kumimoji="0" lang="en-US" sz="11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4</m:t>
                        </m:r>
                      </m:sup>
                      <m:e>
                        <m:sSub>
                          <m:sSubPr>
                            <m:ctrlPr>
                              <a:rPr kumimoji="0" lang="en-US" sz="11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ctrlPr>
                          </m:sSubPr>
                          <m:e>
                            <m:r>
                              <m:rPr>
                                <m:sty m:val="p"/>
                              </m:rPr>
                              <a:rPr kumimoji="0" lang="en-US" sz="11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S</m:t>
                            </m:r>
                          </m:e>
                          <m:sub>
                            <m:r>
                              <m:rPr>
                                <m:sty m:val="p"/>
                              </m:rPr>
                              <a:rPr kumimoji="0" lang="en-US" sz="11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i</m:t>
                            </m:r>
                          </m:sub>
                        </m:sSub>
                      </m:e>
                    </m:nary>
                  </m:oMath>
                </m:oMathPara>
              </a14:m>
              <a:endParaRPr kumimoji="0" lang="lt-LT" sz="1100" b="0" i="0" u="none" strike="noStrike" kern="0" cap="none" spc="0" normalizeH="0" baseline="0" noProof="0">
                <a:ln>
                  <a:noFill/>
                </a:ln>
                <a:solidFill>
                  <a:sysClr val="windowText" lastClr="000000"/>
                </a:solidFill>
                <a:effectLst/>
                <a:uLnTx/>
                <a:uFillTx/>
                <a:latin typeface="Arial" panose="020B0604020202020204"/>
                <a:ea typeface="+mn-ea"/>
                <a:cs typeface="+mn-cs"/>
              </a:endParaRPr>
            </a:p>
          </xdr:txBody>
        </xdr:sp>
      </mc:Choice>
      <mc:Fallback xmlns="">
        <xdr:sp macro="" textlink="">
          <xdr:nvSpPr>
            <xdr:cNvPr id="4" name="TextBox 3">
              <a:extLst>
                <a:ext uri="{FF2B5EF4-FFF2-40B4-BE49-F238E27FC236}">
                  <a16:creationId xmlns:a16="http://schemas.microsoft.com/office/drawing/2014/main" id="{E7314CC0-3762-440A-B7AB-815A0381525B}"/>
                </a:ext>
              </a:extLst>
            </xdr:cNvPr>
            <xdr:cNvSpPr txBox="1"/>
          </xdr:nvSpPr>
          <xdr:spPr>
            <a:xfrm>
              <a:off x="5346290" y="7568437"/>
              <a:ext cx="469597" cy="532934"/>
            </a:xfrm>
            <a:prstGeom prst="rect">
              <a:avLst/>
            </a:prstGeom>
            <a:noFill/>
            <a:ln>
              <a:noFill/>
            </a:ln>
            <a:effectLst/>
          </xdr:spPr>
          <xdr:txBody>
            <a:bodyPr vertOverflow="clip" horzOverflow="clip" wrap="none" lIns="0" tIns="0" rIns="0" bIns="0"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lt-LT" sz="11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a:t>
              </a:r>
              <a:r>
                <a:rPr kumimoji="0" lang="en-US" sz="11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_</a:t>
              </a:r>
              <a:r>
                <a:rPr kumimoji="0" lang="lt-LT" sz="11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(𝑖</a:t>
              </a:r>
              <a:r>
                <a:rPr kumimoji="0" lang="en-US" sz="11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=1</a:t>
              </a:r>
              <a:r>
                <a:rPr kumimoji="0" lang="lt-LT" sz="11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a:t>
              </a:r>
              <a:r>
                <a:rPr kumimoji="0" lang="en-US" sz="11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^4▒S_i </a:t>
              </a:r>
              <a:endParaRPr kumimoji="0" lang="lt-LT" sz="1100" b="0" i="0" u="none" strike="noStrike" kern="0" cap="none" spc="0" normalizeH="0" baseline="0" noProof="0">
                <a:ln>
                  <a:noFill/>
                </a:ln>
                <a:solidFill>
                  <a:sysClr val="windowText" lastClr="000000"/>
                </a:solidFill>
                <a:effectLst/>
                <a:uLnTx/>
                <a:uFillTx/>
                <a:latin typeface="Arial" panose="020B0604020202020204"/>
                <a:ea typeface="+mn-ea"/>
                <a:cs typeface="+mn-cs"/>
              </a:endParaRPr>
            </a:p>
          </xdr:txBody>
        </xdr:sp>
      </mc:Fallback>
    </mc:AlternateContent>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908622</xdr:colOff>
      <xdr:row>27</xdr:row>
      <xdr:rowOff>193689</xdr:rowOff>
    </xdr:from>
    <xdr:to>
      <xdr:col>4</xdr:col>
      <xdr:colOff>694577</xdr:colOff>
      <xdr:row>29</xdr:row>
      <xdr:rowOff>109483</xdr:rowOff>
    </xdr:to>
    <mc:AlternateContent xmlns:mc="http://schemas.openxmlformats.org/markup-compatibility/2006" xmlns:a14="http://schemas.microsoft.com/office/drawing/2010/main">
      <mc:Choice Requires="a14">
        <xdr:sp macro="" textlink="">
          <xdr:nvSpPr>
            <xdr:cNvPr id="48" name="TextBox 47">
              <a:extLst>
                <a:ext uri="{FF2B5EF4-FFF2-40B4-BE49-F238E27FC236}">
                  <a16:creationId xmlns:a16="http://schemas.microsoft.com/office/drawing/2014/main" id="{7AEC59CB-60F2-43D0-9DA2-3FD813767A42}"/>
                </a:ext>
              </a:extLst>
            </xdr:cNvPr>
            <xdr:cNvSpPr txBox="1"/>
          </xdr:nvSpPr>
          <xdr:spPr>
            <a:xfrm>
              <a:off x="8319072" y="9956814"/>
              <a:ext cx="757505" cy="639694"/>
            </a:xfrm>
            <a:prstGeom prst="rect">
              <a:avLst/>
            </a:prstGeom>
            <a:noFill/>
            <a:ln>
              <a:noFill/>
            </a:ln>
            <a:effectLst/>
          </xdr:spPr>
          <xdr:txBody>
            <a:bodyPr vertOverflow="clip" horzOverflow="clip" wrap="none" lIns="0" tIns="0" rIns="0" bIns="0"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nary>
                      <m:naryPr>
                        <m:chr m:val="⋃"/>
                        <m:ctrlPr>
                          <a:rPr kumimoji="0" lang="lt-LT" sz="11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ctrlPr>
                      </m:naryPr>
                      <m:sub>
                        <m:r>
                          <m:rPr>
                            <m:brk m:alnAt="23"/>
                          </m:rPr>
                          <a:rPr kumimoji="0" lang="lt-LT" sz="11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𝑖</m:t>
                        </m:r>
                        <m:r>
                          <a:rPr kumimoji="0" lang="en-US" sz="11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=1</m:t>
                        </m:r>
                      </m:sub>
                      <m:sup>
                        <m:r>
                          <a:rPr kumimoji="0" lang="lt-LT" sz="11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5</m:t>
                        </m:r>
                      </m:sup>
                      <m:e>
                        <m:sSub>
                          <m:sSubPr>
                            <m:ctrlPr>
                              <a:rPr kumimoji="0" lang="en-US" sz="11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ctrlPr>
                          </m:sSubPr>
                          <m:e>
                            <m:r>
                              <m:rPr>
                                <m:sty m:val="p"/>
                              </m:rPr>
                              <a:rPr kumimoji="0" lang="lt-LT" sz="11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A</m:t>
                            </m:r>
                          </m:e>
                          <m:sub>
                            <m:r>
                              <m:rPr>
                                <m:sty m:val="p"/>
                              </m:rPr>
                              <a:rPr kumimoji="0" lang="en-US" sz="11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i</m:t>
                            </m:r>
                          </m:sub>
                        </m:sSub>
                      </m:e>
                    </m:nary>
                  </m:oMath>
                </m:oMathPara>
              </a14:m>
              <a:endParaRPr kumimoji="0" lang="lt-LT" sz="1100" b="0" i="0" u="none" strike="noStrike" kern="0" cap="none" spc="0" normalizeH="0" baseline="0" noProof="0">
                <a:ln>
                  <a:noFill/>
                </a:ln>
                <a:solidFill>
                  <a:sysClr val="windowText" lastClr="000000"/>
                </a:solidFill>
                <a:effectLst/>
                <a:uLnTx/>
                <a:uFillTx/>
                <a:latin typeface="Arial" panose="020B0604020202020204"/>
                <a:ea typeface="+mn-ea"/>
                <a:cs typeface="+mn-cs"/>
              </a:endParaRPr>
            </a:p>
          </xdr:txBody>
        </xdr:sp>
      </mc:Choice>
      <mc:Fallback xmlns="">
        <xdr:sp macro="" textlink="">
          <xdr:nvSpPr>
            <xdr:cNvPr id="48" name="TextBox 47">
              <a:extLst>
                <a:ext uri="{FF2B5EF4-FFF2-40B4-BE49-F238E27FC236}">
                  <a16:creationId xmlns:a16="http://schemas.microsoft.com/office/drawing/2014/main" id="{7AEC59CB-60F2-43D0-9DA2-3FD813767A42}"/>
                </a:ext>
              </a:extLst>
            </xdr:cNvPr>
            <xdr:cNvSpPr txBox="1"/>
          </xdr:nvSpPr>
          <xdr:spPr>
            <a:xfrm>
              <a:off x="8319072" y="9956814"/>
              <a:ext cx="757505" cy="639694"/>
            </a:xfrm>
            <a:prstGeom prst="rect">
              <a:avLst/>
            </a:prstGeom>
            <a:noFill/>
            <a:ln>
              <a:noFill/>
            </a:ln>
            <a:effectLst/>
          </xdr:spPr>
          <xdr:txBody>
            <a:bodyPr vertOverflow="clip" horzOverflow="clip" wrap="none" lIns="0" tIns="0" rIns="0" bIns="0"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lt-LT" sz="11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a:t>
              </a:r>
              <a:r>
                <a:rPr kumimoji="0" lang="en-US" sz="11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_</a:t>
              </a:r>
              <a:r>
                <a:rPr kumimoji="0" lang="lt-LT" sz="11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(𝑖</a:t>
              </a:r>
              <a:r>
                <a:rPr kumimoji="0" lang="en-US" sz="11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=1</a:t>
              </a:r>
              <a:r>
                <a:rPr kumimoji="0" lang="lt-LT" sz="11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)^5</a:t>
              </a:r>
              <a:r>
                <a:rPr kumimoji="0" lang="en-US" sz="11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a:t>
              </a:r>
              <a:r>
                <a:rPr kumimoji="0" lang="lt-LT" sz="11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A</a:t>
              </a:r>
              <a:r>
                <a:rPr kumimoji="0" lang="en-US" sz="11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_i </a:t>
              </a:r>
              <a:endParaRPr kumimoji="0" lang="lt-LT" sz="1100" b="0" i="0" u="none" strike="noStrike" kern="0" cap="none" spc="0" normalizeH="0" baseline="0" noProof="0">
                <a:ln>
                  <a:noFill/>
                </a:ln>
                <a:solidFill>
                  <a:sysClr val="windowText" lastClr="000000"/>
                </a:solidFill>
                <a:effectLst/>
                <a:uLnTx/>
                <a:uFillTx/>
                <a:latin typeface="Arial" panose="020B0604020202020204"/>
                <a:ea typeface="+mn-ea"/>
                <a:cs typeface="+mn-cs"/>
              </a:endParaRPr>
            </a:p>
          </xdr:txBody>
        </xdr:sp>
      </mc:Fallback>
    </mc:AlternateContent>
    <xdr:clientData/>
  </xdr:twoCellAnchor>
  <xdr:twoCellAnchor editAs="oneCell">
    <xdr:from>
      <xdr:col>3</xdr:col>
      <xdr:colOff>184264</xdr:colOff>
      <xdr:row>34</xdr:row>
      <xdr:rowOff>270096</xdr:rowOff>
    </xdr:from>
    <xdr:to>
      <xdr:col>4</xdr:col>
      <xdr:colOff>1279140</xdr:colOff>
      <xdr:row>35</xdr:row>
      <xdr:rowOff>295702</xdr:rowOff>
    </xdr:to>
    <mc:AlternateContent xmlns:mc="http://schemas.openxmlformats.org/markup-compatibility/2006" xmlns:a14="http://schemas.microsoft.com/office/drawing/2010/main">
      <mc:Choice Requires="a14">
        <xdr:sp macro="" textlink="">
          <xdr:nvSpPr>
            <xdr:cNvPr id="11" name="TextBox 10">
              <a:extLst>
                <a:ext uri="{FF2B5EF4-FFF2-40B4-BE49-F238E27FC236}">
                  <a16:creationId xmlns:a16="http://schemas.microsoft.com/office/drawing/2014/main" id="{A0642A1E-252D-4651-B8DE-DFDE13CB018C}"/>
                </a:ext>
              </a:extLst>
            </xdr:cNvPr>
            <xdr:cNvSpPr txBox="1">
              <a:spLocks/>
            </xdr:cNvSpPr>
          </xdr:nvSpPr>
          <xdr:spPr>
            <a:xfrm>
              <a:off x="7518514" y="12538296"/>
              <a:ext cx="2066426" cy="33040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pPr/>
              <a14:m>
                <m:oMathPara xmlns:m="http://schemas.openxmlformats.org/officeDocument/2006/math">
                  <m:oMathParaPr>
                    <m:jc m:val="centerGroup"/>
                  </m:oMathParaPr>
                  <m:oMath xmlns:m="http://schemas.openxmlformats.org/officeDocument/2006/math">
                    <m:f>
                      <m:fPr>
                        <m:ctrlPr>
                          <a:rPr lang="en-US" sz="800" b="0" i="1">
                            <a:latin typeface="Cambria Math" panose="02040503050406030204" pitchFamily="18" charset="0"/>
                          </a:rPr>
                        </m:ctrlPr>
                      </m:fPr>
                      <m:num>
                        <m:r>
                          <m:rPr>
                            <m:sty m:val="p"/>
                          </m:rPr>
                          <a:rPr lang="lt-LT" sz="800" b="0" i="0">
                            <a:latin typeface="Cambria Math" panose="02040503050406030204" pitchFamily="18" charset="0"/>
                          </a:rPr>
                          <m:t>AV</m:t>
                        </m:r>
                        <m:r>
                          <a:rPr lang="lt-LT" sz="800" b="0" i="0">
                            <a:latin typeface="Cambria Math" panose="02040503050406030204" pitchFamily="18" charset="0"/>
                          </a:rPr>
                          <m:t>3</m:t>
                        </m:r>
                        <m:d>
                          <m:dPr>
                            <m:ctrlPr>
                              <a:rPr lang="en-US" sz="800" b="0" i="1">
                                <a:latin typeface="Cambria Math" panose="02040503050406030204" pitchFamily="18" charset="0"/>
                              </a:rPr>
                            </m:ctrlPr>
                          </m:dPr>
                          <m:e>
                            <m:r>
                              <m:rPr>
                                <m:sty m:val="p"/>
                              </m:rPr>
                              <a:rPr lang="en-US" sz="800" b="0" i="0">
                                <a:latin typeface="Cambria Math" panose="02040503050406030204" pitchFamily="18" charset="0"/>
                              </a:rPr>
                              <m:t>t</m:t>
                            </m:r>
                          </m:e>
                        </m:d>
                        <m:r>
                          <a:rPr lang="en-US" sz="800" b="0" i="1">
                            <a:latin typeface="Cambria Math" panose="02040503050406030204" pitchFamily="18" charset="0"/>
                          </a:rPr>
                          <m:t>−</m:t>
                        </m:r>
                        <m:r>
                          <m:rPr>
                            <m:sty m:val="p"/>
                          </m:rPr>
                          <a:rPr lang="en-US" sz="800" b="0" i="0">
                            <a:latin typeface="Cambria Math" panose="02040503050406030204" pitchFamily="18" charset="0"/>
                          </a:rPr>
                          <m:t>ES</m:t>
                        </m:r>
                        <m:r>
                          <a:rPr lang="en-US" sz="800" b="0" i="1">
                            <a:latin typeface="Cambria Math" panose="02040503050406030204" pitchFamily="18" charset="0"/>
                          </a:rPr>
                          <m:t>(</m:t>
                        </m:r>
                        <m:r>
                          <m:rPr>
                            <m:sty m:val="p"/>
                          </m:rPr>
                          <a:rPr lang="en-US" sz="800" b="0" i="0">
                            <a:latin typeface="Cambria Math" panose="02040503050406030204" pitchFamily="18" charset="0"/>
                          </a:rPr>
                          <m:t>t</m:t>
                        </m:r>
                        <m:r>
                          <a:rPr lang="en-US" sz="800" b="0" i="1">
                            <a:latin typeface="Cambria Math" panose="02040503050406030204" pitchFamily="18" charset="0"/>
                          </a:rPr>
                          <m:t>)</m:t>
                        </m:r>
                      </m:num>
                      <m:den>
                        <m:r>
                          <m:rPr>
                            <m:sty m:val="p"/>
                          </m:rPr>
                          <a:rPr lang="lt-LT" sz="800" b="0" i="0">
                            <a:latin typeface="Cambria Math" panose="02040503050406030204" pitchFamily="18" charset="0"/>
                          </a:rPr>
                          <m:t>AV</m:t>
                        </m:r>
                        <m:r>
                          <a:rPr lang="lt-LT" sz="800" b="0" i="0">
                            <a:latin typeface="Cambria Math" panose="02040503050406030204" pitchFamily="18" charset="0"/>
                          </a:rPr>
                          <m:t>3</m:t>
                        </m:r>
                        <m:d>
                          <m:dPr>
                            <m:ctrlPr>
                              <a:rPr lang="en-US" sz="800" b="0" i="1">
                                <a:latin typeface="Cambria Math" panose="02040503050406030204" pitchFamily="18" charset="0"/>
                              </a:rPr>
                            </m:ctrlPr>
                          </m:dPr>
                          <m:e>
                            <m:r>
                              <m:rPr>
                                <m:sty m:val="p"/>
                              </m:rPr>
                              <a:rPr lang="en-US" sz="800" b="0" i="0">
                                <a:latin typeface="Cambria Math" panose="02040503050406030204" pitchFamily="18" charset="0"/>
                              </a:rPr>
                              <m:t>t</m:t>
                            </m:r>
                            <m:r>
                              <a:rPr lang="en-US" sz="800" b="0" i="0">
                                <a:latin typeface="Cambria Math" panose="02040503050406030204" pitchFamily="18" charset="0"/>
                              </a:rPr>
                              <m:t>−1</m:t>
                            </m:r>
                          </m:e>
                        </m:d>
                        <m:r>
                          <a:rPr lang="en-US" sz="800" b="0" i="1">
                            <a:latin typeface="Cambria Math" panose="02040503050406030204" pitchFamily="18" charset="0"/>
                          </a:rPr>
                          <m:t>−</m:t>
                        </m:r>
                        <m:r>
                          <m:rPr>
                            <m:sty m:val="p"/>
                          </m:rPr>
                          <a:rPr lang="en-US" sz="800" b="0" i="0">
                            <a:latin typeface="Cambria Math" panose="02040503050406030204" pitchFamily="18" charset="0"/>
                          </a:rPr>
                          <m:t>ES</m:t>
                        </m:r>
                        <m:r>
                          <a:rPr lang="en-US" sz="800" b="0" i="1">
                            <a:latin typeface="Cambria Math" panose="02040503050406030204" pitchFamily="18" charset="0"/>
                          </a:rPr>
                          <m:t>(</m:t>
                        </m:r>
                        <m:r>
                          <m:rPr>
                            <m:sty m:val="p"/>
                          </m:rPr>
                          <a:rPr lang="en-US" sz="800" b="0" i="0">
                            <a:latin typeface="Cambria Math" panose="02040503050406030204" pitchFamily="18" charset="0"/>
                          </a:rPr>
                          <m:t>t</m:t>
                        </m:r>
                        <m:r>
                          <a:rPr lang="en-US" sz="800" b="0" i="1">
                            <a:latin typeface="Cambria Math" panose="02040503050406030204" pitchFamily="18" charset="0"/>
                          </a:rPr>
                          <m:t>−1)</m:t>
                        </m:r>
                      </m:den>
                    </m:f>
                    <m:r>
                      <a:rPr lang="en-US" sz="800" b="0" i="1">
                        <a:latin typeface="Cambria Math" panose="02040503050406030204" pitchFamily="18" charset="0"/>
                        <a:ea typeface="Cambria Math" panose="02040503050406030204" pitchFamily="18" charset="0"/>
                      </a:rPr>
                      <m:t>≤</m:t>
                    </m:r>
                    <m:r>
                      <a:rPr lang="en-US" sz="1050" b="0" i="1">
                        <a:solidFill>
                          <a:schemeClr val="tx1"/>
                        </a:solidFill>
                        <a:effectLst/>
                        <a:latin typeface="Cambria Math" panose="02040503050406030204" pitchFamily="18" charset="0"/>
                        <a:ea typeface="+mn-ea"/>
                        <a:cs typeface="+mn-cs"/>
                      </a:rPr>
                      <m:t>1+</m:t>
                    </m:r>
                    <m:sSub>
                      <m:sSubPr>
                        <m:ctrlPr>
                          <a:rPr lang="en-US" sz="1050" b="0" i="1">
                            <a:solidFill>
                              <a:schemeClr val="tx1"/>
                            </a:solidFill>
                            <a:effectLst/>
                            <a:latin typeface="Cambria Math" panose="02040503050406030204" pitchFamily="18" charset="0"/>
                            <a:ea typeface="+mn-ea"/>
                            <a:cs typeface="+mn-cs"/>
                          </a:rPr>
                        </m:ctrlPr>
                      </m:sSubPr>
                      <m:e>
                        <m:r>
                          <a:rPr lang="en-US" sz="1050" b="0" i="0">
                            <a:solidFill>
                              <a:schemeClr val="tx1"/>
                            </a:solidFill>
                            <a:effectLst/>
                            <a:latin typeface="Cambria Math" panose="02040503050406030204" pitchFamily="18" charset="0"/>
                            <a:ea typeface="+mn-ea"/>
                            <a:cs typeface="+mn-cs"/>
                          </a:rPr>
                          <m:t>0,5⋅</m:t>
                        </m:r>
                        <m:r>
                          <m:rPr>
                            <m:sty m:val="p"/>
                          </m:rPr>
                          <a:rPr lang="en-US" sz="1050" b="0" i="0">
                            <a:solidFill>
                              <a:schemeClr val="tx1"/>
                            </a:solidFill>
                            <a:effectLst/>
                            <a:latin typeface="Cambria Math" panose="02040503050406030204" pitchFamily="18" charset="0"/>
                            <a:ea typeface="+mn-ea"/>
                            <a:cs typeface="+mn-cs"/>
                          </a:rPr>
                          <m:t>Y</m:t>
                        </m:r>
                      </m:e>
                      <m:sub>
                        <m:r>
                          <m:rPr>
                            <m:sty m:val="p"/>
                          </m:rPr>
                          <a:rPr lang="en-US" sz="1050" b="0" i="0">
                            <a:solidFill>
                              <a:schemeClr val="tx1"/>
                            </a:solidFill>
                            <a:effectLst/>
                            <a:latin typeface="Cambria Math" panose="02040503050406030204" pitchFamily="18" charset="0"/>
                            <a:ea typeface="+mn-ea"/>
                            <a:cs typeface="+mn-cs"/>
                          </a:rPr>
                          <m:t>np</m:t>
                        </m:r>
                        <m:r>
                          <a:rPr lang="en-US" sz="1050" b="0" i="0">
                            <a:solidFill>
                              <a:schemeClr val="tx1"/>
                            </a:solidFill>
                            <a:effectLst/>
                            <a:latin typeface="Cambria Math" panose="02040503050406030204" pitchFamily="18" charset="0"/>
                            <a:ea typeface="+mn-ea"/>
                            <a:cs typeface="+mn-cs"/>
                          </a:rPr>
                          <m:t>10</m:t>
                        </m:r>
                        <m:r>
                          <m:rPr>
                            <m:sty m:val="p"/>
                          </m:rPr>
                          <a:rPr lang="en-US" sz="1050" b="0" i="0">
                            <a:solidFill>
                              <a:schemeClr val="tx1"/>
                            </a:solidFill>
                            <a:effectLst/>
                            <a:latin typeface="Cambria Math" panose="02040503050406030204" pitchFamily="18" charset="0"/>
                            <a:ea typeface="+mn-ea"/>
                            <a:cs typeface="+mn-cs"/>
                          </a:rPr>
                          <m:t>t</m:t>
                        </m:r>
                      </m:sub>
                    </m:sSub>
                  </m:oMath>
                </m:oMathPara>
              </a14:m>
              <a:endParaRPr lang="lt-LT" sz="800" i="0"/>
            </a:p>
          </xdr:txBody>
        </xdr:sp>
      </mc:Choice>
      <mc:Fallback xmlns="">
        <xdr:sp macro="" textlink="">
          <xdr:nvSpPr>
            <xdr:cNvPr id="11" name="TextBox 10">
              <a:extLst>
                <a:ext uri="{FF2B5EF4-FFF2-40B4-BE49-F238E27FC236}">
                  <a16:creationId xmlns:a16="http://schemas.microsoft.com/office/drawing/2014/main" id="{A0642A1E-252D-4651-B8DE-DFDE13CB018C}"/>
                </a:ext>
              </a:extLst>
            </xdr:cNvPr>
            <xdr:cNvSpPr txBox="1">
              <a:spLocks/>
            </xdr:cNvSpPr>
          </xdr:nvSpPr>
          <xdr:spPr>
            <a:xfrm>
              <a:off x="7518514" y="12538296"/>
              <a:ext cx="2066426" cy="33040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pPr/>
              <a:r>
                <a:rPr lang="en-US" sz="800" b="0" i="0">
                  <a:latin typeface="Cambria Math" panose="02040503050406030204" pitchFamily="18" charset="0"/>
                </a:rPr>
                <a:t>(</a:t>
              </a:r>
              <a:r>
                <a:rPr lang="lt-LT" sz="800" b="0" i="0">
                  <a:latin typeface="Cambria Math" panose="02040503050406030204" pitchFamily="18" charset="0"/>
                </a:rPr>
                <a:t>AV3</a:t>
              </a:r>
              <a:r>
                <a:rPr lang="en-US" sz="800" b="0" i="0">
                  <a:latin typeface="Cambria Math" panose="02040503050406030204" pitchFamily="18" charset="0"/>
                </a:rPr>
                <a:t>(t)−ES(t))/(</a:t>
              </a:r>
              <a:r>
                <a:rPr lang="lt-LT" sz="800" b="0" i="0">
                  <a:latin typeface="Cambria Math" panose="02040503050406030204" pitchFamily="18" charset="0"/>
                </a:rPr>
                <a:t>AV3</a:t>
              </a:r>
              <a:r>
                <a:rPr lang="en-US" sz="800" b="0" i="0">
                  <a:latin typeface="Cambria Math" panose="02040503050406030204" pitchFamily="18" charset="0"/>
                </a:rPr>
                <a:t>(t−1)−ES(t−1))</a:t>
              </a:r>
              <a:r>
                <a:rPr lang="en-US" sz="800" b="0" i="0">
                  <a:latin typeface="Cambria Math" panose="02040503050406030204" pitchFamily="18" charset="0"/>
                  <a:ea typeface="Cambria Math" panose="02040503050406030204" pitchFamily="18" charset="0"/>
                </a:rPr>
                <a:t>≤</a:t>
              </a:r>
              <a:r>
                <a:rPr lang="en-US" sz="1050" b="0" i="0">
                  <a:solidFill>
                    <a:schemeClr val="tx1"/>
                  </a:solidFill>
                  <a:effectLst/>
                  <a:latin typeface="Cambria Math" panose="02040503050406030204" pitchFamily="18" charset="0"/>
                  <a:ea typeface="+mn-ea"/>
                  <a:cs typeface="+mn-cs"/>
                </a:rPr>
                <a:t>1+〖0,5⋅Y〗_np10t</a:t>
              </a:r>
              <a:endParaRPr lang="lt-LT" sz="800" i="0"/>
            </a:p>
          </xdr:txBody>
        </xdr:sp>
      </mc:Fallback>
    </mc:AlternateContent>
    <xdr:clientData/>
  </xdr:twoCellAnchor>
  <xdr:twoCellAnchor editAs="oneCell">
    <xdr:from>
      <xdr:col>3</xdr:col>
      <xdr:colOff>439081</xdr:colOff>
      <xdr:row>37</xdr:row>
      <xdr:rowOff>32344</xdr:rowOff>
    </xdr:from>
    <xdr:to>
      <xdr:col>4</xdr:col>
      <xdr:colOff>888909</xdr:colOff>
      <xdr:row>37</xdr:row>
      <xdr:rowOff>468118</xdr:rowOff>
    </xdr:to>
    <mc:AlternateContent xmlns:mc="http://schemas.openxmlformats.org/markup-compatibility/2006" xmlns:a14="http://schemas.microsoft.com/office/drawing/2010/main">
      <mc:Choice Requires="a14">
        <xdr:sp macro="" textlink="">
          <xdr:nvSpPr>
            <xdr:cNvPr id="43" name="TextBox 42">
              <a:extLst>
                <a:ext uri="{FF2B5EF4-FFF2-40B4-BE49-F238E27FC236}">
                  <a16:creationId xmlns:a16="http://schemas.microsoft.com/office/drawing/2014/main" id="{242E4FE0-5727-4EE2-8E60-B3FD145B8860}"/>
                </a:ext>
              </a:extLst>
            </xdr:cNvPr>
            <xdr:cNvSpPr txBox="1"/>
          </xdr:nvSpPr>
          <xdr:spPr>
            <a:xfrm>
              <a:off x="7773331" y="13748344"/>
              <a:ext cx="1421378" cy="435774"/>
            </a:xfrm>
            <a:prstGeom prst="rect">
              <a:avLst/>
            </a:prstGeom>
            <a:noFill/>
            <a:ln>
              <a:noFill/>
            </a:ln>
            <a:effectLst/>
          </xdr:spPr>
          <xdr:txBody>
            <a:bodyPr vertOverflow="clip" horzOverflow="clip" wrap="none" lIns="0" tIns="0" rIns="0" bIns="0"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sSub>
                      <m:sSubPr>
                        <m:ctrlP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ctrlPr>
                      </m:sSubPr>
                      <m:e>
                        <m:r>
                          <m:rPr>
                            <m:sty m:val="p"/>
                          </m:rPr>
                          <a:rPr kumimoji="0" lang="en-US"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Y</m:t>
                        </m:r>
                      </m:e>
                      <m:sub>
                        <m:r>
                          <m:rPr>
                            <m:sty m:val="p"/>
                          </m:rPr>
                          <a:rPr kumimoji="0" lang="en-US"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np</m:t>
                        </m:r>
                        <m:r>
                          <a:rPr kumimoji="0" lang="en-US"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10</m:t>
                        </m:r>
                        <m:r>
                          <m:rPr>
                            <m:sty m:val="p"/>
                          </m:rPr>
                          <a:rPr kumimoji="0" lang="en-US"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t</m:t>
                        </m:r>
                      </m:sub>
                    </m:sSub>
                    <m: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m:t>
                    </m:r>
                    <m:rad>
                      <m:radPr>
                        <m:ctrlP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ctrlPr>
                      </m:radPr>
                      <m:deg>
                        <m:r>
                          <m:rPr>
                            <m:brk m:alnAt="7"/>
                          </m:rP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1</m:t>
                        </m:r>
                        <m: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0</m:t>
                        </m:r>
                      </m:deg>
                      <m:e>
                        <m:f>
                          <m:fPr>
                            <m:ctrlP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ctrlPr>
                          </m:fPr>
                          <m:num>
                            <m:sSup>
                              <m:sSupPr>
                                <m:ctrlP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ctrlPr>
                              </m:sSupPr>
                              <m:e>
                                <m:r>
                                  <m:rPr>
                                    <m:sty m:val="p"/>
                                  </m:rPr>
                                  <a:rPr kumimoji="0" lang="en-US"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Y</m:t>
                                </m:r>
                              </m:e>
                              <m:sup>
                                <m: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m:t>
                                </m:r>
                              </m:sup>
                            </m:sSup>
                            <m:d>
                              <m:dPr>
                                <m:ctrlP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ctrlPr>
                              </m:dPr>
                              <m:e>
                                <m:r>
                                  <m:rPr>
                                    <m:sty m:val="p"/>
                                  </m:rPr>
                                  <a:rPr kumimoji="0" lang="en-US"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t</m:t>
                                </m:r>
                                <m: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+2</m:t>
                                </m:r>
                              </m:e>
                            </m:d>
                          </m:num>
                          <m:den>
                            <m:sSup>
                              <m:sSupPr>
                                <m:ctrlP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ctrlPr>
                              </m:sSupPr>
                              <m:e>
                                <m:r>
                                  <m:rPr>
                                    <m:sty m:val="p"/>
                                  </m:rPr>
                                  <a:rPr kumimoji="0" lang="en-US"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Y</m:t>
                                </m:r>
                              </m:e>
                              <m:sup>
                                <m: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m:t>
                                </m:r>
                              </m:sup>
                            </m:sSup>
                            <m: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m:t>
                            </m:r>
                            <m:r>
                              <m:rPr>
                                <m:sty m:val="p"/>
                              </m:rPr>
                              <a:rPr kumimoji="0" lang="en-US"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t</m:t>
                            </m:r>
                            <m: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−8)</m:t>
                            </m:r>
                          </m:den>
                        </m:f>
                      </m:e>
                    </m:rad>
                    <m:sSub>
                      <m:sSubPr>
                        <m:ctrlP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ctrlPr>
                      </m:sSubPr>
                      <m:e>
                        <m: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𝑑</m:t>
                        </m:r>
                      </m:e>
                      <m:sub>
                        <m: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𝑡</m:t>
                        </m:r>
                      </m:sub>
                    </m:sSub>
                    <m: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−1</m:t>
                    </m:r>
                  </m:oMath>
                </m:oMathPara>
              </a14:m>
              <a:endParaRPr kumimoji="0" lang="lt-LT" sz="900" b="0" i="0" u="none" strike="noStrike" kern="0" cap="none" spc="0" normalizeH="0" baseline="0" noProof="0">
                <a:ln>
                  <a:noFill/>
                </a:ln>
                <a:solidFill>
                  <a:sysClr val="windowText" lastClr="000000"/>
                </a:solidFill>
                <a:effectLst/>
                <a:uLnTx/>
                <a:uFillTx/>
                <a:latin typeface="Arial" panose="020B0604020202020204"/>
                <a:ea typeface="+mn-ea"/>
                <a:cs typeface="+mn-cs"/>
              </a:endParaRPr>
            </a:p>
          </xdr:txBody>
        </xdr:sp>
      </mc:Choice>
      <mc:Fallback xmlns="">
        <xdr:sp macro="" textlink="">
          <xdr:nvSpPr>
            <xdr:cNvPr id="43" name="TextBox 42">
              <a:extLst>
                <a:ext uri="{FF2B5EF4-FFF2-40B4-BE49-F238E27FC236}">
                  <a16:creationId xmlns:a16="http://schemas.microsoft.com/office/drawing/2014/main" id="{242E4FE0-5727-4EE2-8E60-B3FD145B8860}"/>
                </a:ext>
              </a:extLst>
            </xdr:cNvPr>
            <xdr:cNvSpPr txBox="1"/>
          </xdr:nvSpPr>
          <xdr:spPr>
            <a:xfrm>
              <a:off x="7773331" y="13748344"/>
              <a:ext cx="1421378" cy="435774"/>
            </a:xfrm>
            <a:prstGeom prst="rect">
              <a:avLst/>
            </a:prstGeom>
            <a:noFill/>
            <a:ln>
              <a:noFill/>
            </a:ln>
            <a:effectLst/>
          </xdr:spPr>
          <xdr:txBody>
            <a:bodyPr vertOverflow="clip" horzOverflow="clip" wrap="none" lIns="0" tIns="0" rIns="0" bIns="0"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Y_np10t=√(10&amp;(Y^∗ (t+2))/(Y^∗ (t−8)))𝑑_𝑡−1</a:t>
              </a:r>
              <a:endParaRPr kumimoji="0" lang="lt-LT" sz="900" b="0" i="0" u="none" strike="noStrike" kern="0" cap="none" spc="0" normalizeH="0" baseline="0" noProof="0">
                <a:ln>
                  <a:noFill/>
                </a:ln>
                <a:solidFill>
                  <a:sysClr val="windowText" lastClr="000000"/>
                </a:solidFill>
                <a:effectLst/>
                <a:uLnTx/>
                <a:uFillTx/>
                <a:latin typeface="Arial" panose="020B0604020202020204"/>
                <a:ea typeface="+mn-ea"/>
                <a:cs typeface="+mn-cs"/>
              </a:endParaRPr>
            </a:p>
          </xdr:txBody>
        </xdr:sp>
      </mc:Fallback>
    </mc:AlternateContent>
    <xdr:clientData/>
  </xdr:twoCellAnchor>
  <xdr:twoCellAnchor editAs="oneCell">
    <xdr:from>
      <xdr:col>3</xdr:col>
      <xdr:colOff>707244</xdr:colOff>
      <xdr:row>31</xdr:row>
      <xdr:rowOff>200504</xdr:rowOff>
    </xdr:from>
    <xdr:to>
      <xdr:col>4</xdr:col>
      <xdr:colOff>890124</xdr:colOff>
      <xdr:row>33</xdr:row>
      <xdr:rowOff>182910</xdr:rowOff>
    </xdr:to>
    <mc:AlternateContent xmlns:mc="http://schemas.openxmlformats.org/markup-compatibility/2006" xmlns:a14="http://schemas.microsoft.com/office/drawing/2010/main">
      <mc:Choice Requires="a14">
        <xdr:sp macro="" textlink="">
          <xdr:nvSpPr>
            <xdr:cNvPr id="49" name="TextBox 48">
              <a:extLst>
                <a:ext uri="{FF2B5EF4-FFF2-40B4-BE49-F238E27FC236}">
                  <a16:creationId xmlns:a16="http://schemas.microsoft.com/office/drawing/2014/main" id="{C0F894EE-B0BC-40D8-9AC5-6BCCC3E9BD6B}"/>
                </a:ext>
              </a:extLst>
            </xdr:cNvPr>
            <xdr:cNvSpPr txBox="1"/>
          </xdr:nvSpPr>
          <xdr:spPr>
            <a:xfrm>
              <a:off x="8038283" y="9318819"/>
              <a:ext cx="1156785" cy="399794"/>
            </a:xfrm>
            <a:prstGeom prst="rect">
              <a:avLst/>
            </a:prstGeom>
            <a:noFill/>
            <a:ln>
              <a:noFill/>
            </a:ln>
            <a:effectLst/>
          </xdr:spPr>
          <xdr:txBody>
            <a:bodyPr vertOverflow="clip" horzOverflow="clip" wrap="square" lIns="0" tIns="0" rIns="0" bIns="0"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f>
                      <m:fPr>
                        <m:ctrlP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ctrlPr>
                      </m:fPr>
                      <m:num>
                        <m:nary>
                          <m:naryPr>
                            <m:chr m:val="∑"/>
                            <m:ctrlPr>
                              <a:rPr kumimoji="0" lang="lt-LT"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ctrlPr>
                          </m:naryPr>
                          <m:sub>
                            <m:r>
                              <m:rPr>
                                <m:brk m:alnAt="23"/>
                              </m:rP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𝑗</m:t>
                            </m:r>
                            <m: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=1</m:t>
                            </m:r>
                          </m:sub>
                          <m:sup>
                            <m: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5</m:t>
                            </m:r>
                          </m:sup>
                          <m:e>
                            <m:r>
                              <m:rPr>
                                <m:sty m:val="p"/>
                              </m:rPr>
                              <a:rPr kumimoji="0" lang="lt-LT"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B</m:t>
                            </m:r>
                            <m:d>
                              <m:dPr>
                                <m:ctrlP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ctrlPr>
                              </m:dPr>
                              <m:e>
                                <m:r>
                                  <m:rPr>
                                    <m:sty m:val="p"/>
                                  </m:rPr>
                                  <a:rPr kumimoji="0" lang="en-US"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t</m:t>
                                </m:r>
                                <m: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m:t>
                                </m:r>
                                <m: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𝑗</m:t>
                                </m:r>
                                <m:r>
                                  <a:rPr kumimoji="0" lang="en-GB"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−1</m:t>
                                </m:r>
                              </m:e>
                            </m:d>
                          </m:e>
                        </m:nary>
                      </m:num>
                      <m:den>
                        <m: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5</m:t>
                        </m:r>
                      </m:den>
                    </m:f>
                    <m: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&lt;0</m:t>
                    </m:r>
                  </m:oMath>
                </m:oMathPara>
              </a14:m>
              <a:endParaRPr kumimoji="0" lang="lt-LT" sz="1200" b="0" i="0" u="none" strike="noStrike" kern="0" cap="none" spc="0" normalizeH="0" baseline="0" noProof="0">
                <a:ln>
                  <a:noFill/>
                </a:ln>
                <a:solidFill>
                  <a:sysClr val="windowText" lastClr="000000"/>
                </a:solidFill>
                <a:effectLst/>
                <a:uLnTx/>
                <a:uFillTx/>
                <a:latin typeface="Arial" panose="020B0604020202020204"/>
                <a:ea typeface="+mn-ea"/>
                <a:cs typeface="+mn-cs"/>
              </a:endParaRPr>
            </a:p>
          </xdr:txBody>
        </xdr:sp>
      </mc:Choice>
      <mc:Fallback xmlns="">
        <xdr:sp macro="" textlink="">
          <xdr:nvSpPr>
            <xdr:cNvPr id="49" name="TextBox 48">
              <a:extLst>
                <a:ext uri="{FF2B5EF4-FFF2-40B4-BE49-F238E27FC236}">
                  <a16:creationId xmlns:a16="http://schemas.microsoft.com/office/drawing/2014/main" id="{C0F894EE-B0BC-40D8-9AC5-6BCCC3E9BD6B}"/>
                </a:ext>
              </a:extLst>
            </xdr:cNvPr>
            <xdr:cNvSpPr txBox="1"/>
          </xdr:nvSpPr>
          <xdr:spPr>
            <a:xfrm>
              <a:off x="8038283" y="9318819"/>
              <a:ext cx="1156785" cy="399794"/>
            </a:xfrm>
            <a:prstGeom prst="rect">
              <a:avLst/>
            </a:prstGeom>
            <a:noFill/>
            <a:ln>
              <a:noFill/>
            </a:ln>
            <a:effectLst/>
          </xdr:spPr>
          <xdr:txBody>
            <a:bodyPr vertOverflow="clip" horzOverflow="clip" wrap="square" lIns="0" tIns="0" rIns="0" bIns="0"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a:t>
              </a:r>
              <a:r>
                <a:rPr kumimoji="0" lang="lt-LT"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a:t>
              </a:r>
              <a:r>
                <a:rPr kumimoji="0" lang="en-US"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_</a:t>
              </a:r>
              <a:r>
                <a:rPr kumimoji="0" lang="lt-LT"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a:t>
              </a:r>
              <a:r>
                <a:rPr kumimoji="0" lang="en-US"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𝑗=1</a:t>
              </a:r>
              <a:r>
                <a:rPr kumimoji="0" lang="lt-LT"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a:t>
              </a:r>
              <a:r>
                <a:rPr kumimoji="0" lang="en-US"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^5</a:t>
              </a:r>
              <a:r>
                <a:rPr kumimoji="0" lang="en-GB"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a:t>
              </a:r>
              <a:r>
                <a:rPr kumimoji="0" lang="lt-LT"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B</a:t>
              </a:r>
              <a:r>
                <a:rPr kumimoji="0" lang="en-US"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(t−𝑗</a:t>
              </a:r>
              <a:r>
                <a:rPr kumimoji="0" lang="en-GB"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−1) </a:t>
              </a:r>
              <a:r>
                <a:rPr kumimoji="0" lang="en-US"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)/5&lt;0</a:t>
              </a:r>
              <a:endParaRPr kumimoji="0" lang="lt-LT" sz="1200" b="0" i="0" u="none" strike="noStrike" kern="0" cap="none" spc="0" normalizeH="0" baseline="0" noProof="0">
                <a:ln>
                  <a:noFill/>
                </a:ln>
                <a:solidFill>
                  <a:sysClr val="windowText" lastClr="000000"/>
                </a:solidFill>
                <a:effectLst/>
                <a:uLnTx/>
                <a:uFillTx/>
                <a:latin typeface="Arial" panose="020B0604020202020204"/>
                <a:ea typeface="+mn-ea"/>
                <a:cs typeface="+mn-cs"/>
              </a:endParaRPr>
            </a:p>
          </xdr:txBody>
        </xdr:sp>
      </mc:Fallback>
    </mc:AlternateContent>
    <xdr:clientData/>
  </xdr:twoCellAnchor>
  <xdr:twoCellAnchor editAs="oneCell">
    <xdr:from>
      <xdr:col>3</xdr:col>
      <xdr:colOff>507110</xdr:colOff>
      <xdr:row>14</xdr:row>
      <xdr:rowOff>78342</xdr:rowOff>
    </xdr:from>
    <xdr:to>
      <xdr:col>4</xdr:col>
      <xdr:colOff>1025270</xdr:colOff>
      <xdr:row>16</xdr:row>
      <xdr:rowOff>217420</xdr:rowOff>
    </xdr:to>
    <mc:AlternateContent xmlns:mc="http://schemas.openxmlformats.org/markup-compatibility/2006" xmlns:a14="http://schemas.microsoft.com/office/drawing/2010/main">
      <mc:Choice Requires="a14">
        <xdr:sp macro="" textlink="">
          <xdr:nvSpPr>
            <xdr:cNvPr id="23" name="TextBox 22">
              <a:extLst>
                <a:ext uri="{FF2B5EF4-FFF2-40B4-BE49-F238E27FC236}">
                  <a16:creationId xmlns:a16="http://schemas.microsoft.com/office/drawing/2014/main" id="{F6FFA6B9-EAD2-4C85-A817-0EF4221AC893}"/>
                </a:ext>
              </a:extLst>
            </xdr:cNvPr>
            <xdr:cNvSpPr txBox="1"/>
          </xdr:nvSpPr>
          <xdr:spPr>
            <a:xfrm>
              <a:off x="7675076" y="5744910"/>
              <a:ext cx="1486804" cy="622593"/>
            </a:xfrm>
            <a:prstGeom prst="rect">
              <a:avLst/>
            </a:prstGeom>
            <a:noFill/>
            <a:ln>
              <a:noFill/>
            </a:ln>
            <a:effectLst/>
          </xdr:spPr>
          <xdr:txBody>
            <a:bodyPr vertOverflow="clip" horzOverflow="clip" wrap="square" lIns="0" tIns="0" rIns="0" bIns="0" rtlCol="0" anchor="ctr">
              <a:no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f>
                      <m:fPr>
                        <m:ctrlPr>
                          <a:rPr kumimoji="0" lang="en-US" sz="105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ctrlPr>
                      </m:fPr>
                      <m:num>
                        <m:nary>
                          <m:naryPr>
                            <m:chr m:val="∑"/>
                            <m:ctrlPr>
                              <a:rPr kumimoji="0" lang="lt-LT" sz="105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ctrlPr>
                          </m:naryPr>
                          <m:sub>
                            <m:r>
                              <m:rPr>
                                <m:brk m:alnAt="23"/>
                              </m:rPr>
                              <a:rPr kumimoji="0" lang="en-US" sz="105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𝑗</m:t>
                            </m:r>
                            <m:r>
                              <a:rPr kumimoji="0" lang="en-US" sz="105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m:t>
                            </m:r>
                            <m:r>
                              <a:rPr kumimoji="0" lang="en-GB" sz="105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1</m:t>
                            </m:r>
                          </m:sub>
                          <m:sup>
                            <m:r>
                              <a:rPr kumimoji="0" lang="en-US" sz="105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5</m:t>
                            </m:r>
                          </m:sup>
                          <m:e>
                            <m:r>
                              <m:rPr>
                                <m:sty m:val="p"/>
                              </m:rPr>
                              <a:rPr kumimoji="0" lang="en-US" sz="105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B</m:t>
                            </m:r>
                            <m:d>
                              <m:dPr>
                                <m:ctrlPr>
                                  <a:rPr kumimoji="0" lang="en-US" sz="105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ctrlPr>
                              </m:dPr>
                              <m:e>
                                <m:r>
                                  <m:rPr>
                                    <m:sty m:val="p"/>
                                  </m:rPr>
                                  <a:rPr kumimoji="0" lang="en-US" sz="105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t</m:t>
                                </m:r>
                                <m:r>
                                  <a:rPr kumimoji="0" lang="en-US" sz="105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m:t>
                                </m:r>
                                <m:r>
                                  <a:rPr kumimoji="0" lang="en-US" sz="105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𝑗</m:t>
                                </m:r>
                              </m:e>
                            </m:d>
                          </m:e>
                        </m:nary>
                      </m:num>
                      <m:den>
                        <m:r>
                          <a:rPr kumimoji="0" lang="en-US" sz="105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5</m:t>
                        </m:r>
                      </m:den>
                    </m:f>
                    <m:r>
                      <a:rPr kumimoji="0" lang="en-US" sz="105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≥0,1</m:t>
                    </m:r>
                  </m:oMath>
                </m:oMathPara>
              </a14:m>
              <a:endParaRPr kumimoji="0" lang="lt-LT" sz="1600" b="0" i="0" u="none" strike="noStrike" kern="0" cap="none" spc="0" normalizeH="0" baseline="0" noProof="0">
                <a:ln>
                  <a:noFill/>
                </a:ln>
                <a:solidFill>
                  <a:sysClr val="windowText" lastClr="000000"/>
                </a:solidFill>
                <a:effectLst/>
                <a:uLnTx/>
                <a:uFillTx/>
                <a:latin typeface="Arial" panose="020B0604020202020204"/>
                <a:ea typeface="+mn-ea"/>
                <a:cs typeface="+mn-cs"/>
              </a:endParaRPr>
            </a:p>
          </xdr:txBody>
        </xdr:sp>
      </mc:Choice>
      <mc:Fallback xmlns="">
        <xdr:sp macro="" textlink="">
          <xdr:nvSpPr>
            <xdr:cNvPr id="23" name="TextBox 22">
              <a:extLst>
                <a:ext uri="{FF2B5EF4-FFF2-40B4-BE49-F238E27FC236}">
                  <a16:creationId xmlns:a16="http://schemas.microsoft.com/office/drawing/2014/main" id="{F6FFA6B9-EAD2-4C85-A817-0EF4221AC893}"/>
                </a:ext>
              </a:extLst>
            </xdr:cNvPr>
            <xdr:cNvSpPr txBox="1"/>
          </xdr:nvSpPr>
          <xdr:spPr>
            <a:xfrm>
              <a:off x="7675076" y="5744910"/>
              <a:ext cx="1486804" cy="622593"/>
            </a:xfrm>
            <a:prstGeom prst="rect">
              <a:avLst/>
            </a:prstGeom>
            <a:noFill/>
            <a:ln>
              <a:noFill/>
            </a:ln>
            <a:effectLst/>
          </xdr:spPr>
          <xdr:txBody>
            <a:bodyPr vertOverflow="clip" horzOverflow="clip" wrap="square" lIns="0" tIns="0" rIns="0" bIns="0" rtlCol="0" anchor="ctr">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05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a:t>
              </a:r>
              <a:r>
                <a:rPr kumimoji="0" lang="lt-LT" sz="105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a:t>
              </a:r>
              <a:r>
                <a:rPr kumimoji="0" lang="en-GB" sz="105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_</a:t>
              </a:r>
              <a:r>
                <a:rPr kumimoji="0" lang="lt-LT" sz="105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a:t>
              </a:r>
              <a:r>
                <a:rPr kumimoji="0" lang="en-US" sz="105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𝑗=</a:t>
              </a:r>
              <a:r>
                <a:rPr kumimoji="0" lang="en-GB" sz="105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1</a:t>
              </a:r>
              <a:r>
                <a:rPr kumimoji="0" lang="lt-LT" sz="105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a:t>
              </a:r>
              <a:r>
                <a:rPr kumimoji="0" lang="en-US" sz="105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^5▒B(t−𝑗) )/5≥0,1</a:t>
              </a:r>
              <a:endParaRPr kumimoji="0" lang="lt-LT" sz="1600" b="0" i="0" u="none" strike="noStrike" kern="0" cap="none" spc="0" normalizeH="0" baseline="0" noProof="0">
                <a:ln>
                  <a:noFill/>
                </a:ln>
                <a:solidFill>
                  <a:sysClr val="windowText" lastClr="000000"/>
                </a:solidFill>
                <a:effectLst/>
                <a:uLnTx/>
                <a:uFillTx/>
                <a:latin typeface="Arial" panose="020B0604020202020204"/>
                <a:ea typeface="+mn-ea"/>
                <a:cs typeface="+mn-cs"/>
              </a:endParaRPr>
            </a:p>
          </xdr:txBody>
        </xdr:sp>
      </mc:Fallback>
    </mc:AlternateContent>
    <xdr:clientData/>
  </xdr:twoCellAnchor>
  <xdr:twoCellAnchor editAs="oneCell">
    <xdr:from>
      <xdr:col>3</xdr:col>
      <xdr:colOff>274449</xdr:colOff>
      <xdr:row>5</xdr:row>
      <xdr:rowOff>177586</xdr:rowOff>
    </xdr:from>
    <xdr:to>
      <xdr:col>4</xdr:col>
      <xdr:colOff>1194660</xdr:colOff>
      <xdr:row>7</xdr:row>
      <xdr:rowOff>354793</xdr:rowOff>
    </xdr:to>
    <mc:AlternateContent xmlns:mc="http://schemas.openxmlformats.org/markup-compatibility/2006" xmlns:a14="http://schemas.microsoft.com/office/drawing/2010/main">
      <mc:Choice Requires="a14">
        <xdr:sp macro="" textlink="">
          <xdr:nvSpPr>
            <xdr:cNvPr id="46" name="TextBox 45">
              <a:extLst>
                <a:ext uri="{FF2B5EF4-FFF2-40B4-BE49-F238E27FC236}">
                  <a16:creationId xmlns:a16="http://schemas.microsoft.com/office/drawing/2014/main" id="{EABF12F5-77ED-476E-A997-90BF561017EB}"/>
                </a:ext>
              </a:extLst>
            </xdr:cNvPr>
            <xdr:cNvSpPr txBox="1"/>
          </xdr:nvSpPr>
          <xdr:spPr>
            <a:xfrm>
              <a:off x="7442415" y="1791993"/>
              <a:ext cx="1888855" cy="1000932"/>
            </a:xfrm>
            <a:prstGeom prst="rect">
              <a:avLst/>
            </a:prstGeom>
            <a:noFill/>
            <a:ln>
              <a:noFill/>
            </a:ln>
            <a:effectLst/>
          </xdr:spPr>
          <xdr:txBody>
            <a:bodyPr vertOverflow="clip" horzOverflow="clip" wrap="none" lIns="0" tIns="0" rIns="0" bIns="0" rtlCol="0" anchor="ctr">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l-GR" sz="900" b="0" i="0" u="none" strike="noStrike" kern="0" cap="none" spc="0" normalizeH="0" baseline="0" noProof="0">
                  <a:ln>
                    <a:noFill/>
                  </a:ln>
                  <a:solidFill>
                    <a:sysClr val="windowText" lastClr="000000"/>
                  </a:solidFill>
                  <a:effectLst/>
                  <a:uLnTx/>
                  <a:uFillTx/>
                  <a:latin typeface="Arial" panose="020B0604020202020204"/>
                  <a:ea typeface="+mn-ea"/>
                  <a:cs typeface="+mn-cs"/>
                </a:rPr>
                <a:t>Δ</a:t>
              </a:r>
              <a14:m>
                <m:oMath xmlns:m="http://schemas.openxmlformats.org/officeDocument/2006/math">
                  <m:r>
                    <m:rPr>
                      <m:sty m:val="p"/>
                    </m:rPr>
                    <a:rPr kumimoji="0" lang="lt-LT"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YN</m:t>
                  </m:r>
                  <m:d>
                    <m:dPr>
                      <m:ctrlPr>
                        <a:rPr kumimoji="0" lang="lt-LT"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ctrlPr>
                    </m:dPr>
                    <m:e>
                      <m:r>
                        <m:rPr>
                          <m:sty m:val="p"/>
                        </m:rPr>
                        <a:rPr kumimoji="0" lang="lt-LT"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t</m:t>
                      </m:r>
                      <m:r>
                        <a:rPr kumimoji="0" lang="lt-LT"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−1</m:t>
                      </m:r>
                    </m:e>
                  </m:d>
                  <m: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&lt;</m:t>
                  </m:r>
                </m:oMath>
              </a14:m>
              <a:br>
                <a:rPr kumimoji="0" lang="lt-LT"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br>
              <a14:m>
                <m:oMathPara xmlns:m="http://schemas.openxmlformats.org/officeDocument/2006/math">
                  <m:oMathParaPr>
                    <m:jc m:val="centerGroup"/>
                  </m:oMathParaPr>
                  <m:oMath xmlns:m="http://schemas.openxmlformats.org/officeDocument/2006/math">
                    <m:f>
                      <m:fPr>
                        <m:ctrlPr>
                          <a:rPr kumimoji="0" lang="lt-LT"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ctrlPr>
                      </m:fPr>
                      <m:num>
                        <m:r>
                          <a:rPr kumimoji="0" lang="lt-LT"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1</m:t>
                        </m:r>
                      </m:num>
                      <m:den>
                        <m:r>
                          <a:rPr kumimoji="0" lang="lt-LT"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5</m:t>
                        </m:r>
                      </m:den>
                    </m:f>
                    <m:nary>
                      <m:naryPr>
                        <m:chr m:val="∑"/>
                        <m:ctrlPr>
                          <a:rPr kumimoji="0" lang="lt-LT"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ctrlPr>
                      </m:naryPr>
                      <m:sub>
                        <m:r>
                          <m:rPr>
                            <m:brk m:alnAt="23"/>
                          </m:rPr>
                          <a:rPr kumimoji="0" lang="lt-LT"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𝑗</m:t>
                        </m:r>
                        <m:r>
                          <a:rPr kumimoji="0" lang="ru-RU"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m:t>
                        </m:r>
                        <m: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1</m:t>
                        </m:r>
                      </m:sub>
                      <m:sup>
                        <m:r>
                          <a:rPr kumimoji="0" lang="ru-RU"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5</m:t>
                        </m:r>
                      </m:sup>
                      <m:e>
                        <m:r>
                          <m:rPr>
                            <m:sty m:val="p"/>
                          </m:rPr>
                          <a:rPr kumimoji="0" lang="el-GR"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Δ</m:t>
                        </m:r>
                        <m:sSub>
                          <m:sSubPr>
                            <m:ctrlPr>
                              <a:rPr kumimoji="0" lang="lt-LT"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ctrlPr>
                          </m:sSubPr>
                          <m:e>
                            <m:r>
                              <m:rPr>
                                <m:sty m:val="p"/>
                              </m:rPr>
                              <a:rPr kumimoji="0" lang="lt-LT"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YN</m:t>
                            </m:r>
                          </m:e>
                          <m:sub>
                            <m:r>
                              <m:rPr>
                                <m:sty m:val="p"/>
                              </m:rPr>
                              <a:rPr kumimoji="0" lang="en-US"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E</m:t>
                            </m:r>
                            <m:r>
                              <m:rPr>
                                <m:sty m:val="p"/>
                              </m:rPr>
                              <a:rPr kumimoji="0" lang="lt-LT"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S</m:t>
                            </m:r>
                          </m:sub>
                        </m:sSub>
                        <m:d>
                          <m:dPr>
                            <m:ctrlP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ctrlPr>
                          </m:dPr>
                          <m:e>
                            <m:r>
                              <m:rPr>
                                <m:sty m:val="p"/>
                              </m:rPr>
                              <a:rPr kumimoji="0" lang="en-US"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t</m:t>
                            </m:r>
                            <m:r>
                              <a:rPr kumimoji="0" lang="lt-LT"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m:t>
                            </m:r>
                            <m:r>
                              <a:rPr kumimoji="0" lang="lt-LT"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𝑗</m:t>
                            </m:r>
                          </m:e>
                        </m:d>
                      </m:e>
                    </m:nary>
                    <m: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+2</m:t>
                    </m:r>
                  </m:oMath>
                </m:oMathPara>
              </a14:m>
              <a:endParaRPr kumimoji="0" lang="lt-LT" sz="900" b="0" i="0" u="none" strike="noStrike" kern="0" cap="none" spc="0" normalizeH="0" baseline="0" noProof="0">
                <a:ln>
                  <a:noFill/>
                </a:ln>
                <a:solidFill>
                  <a:sysClr val="windowText" lastClr="000000"/>
                </a:solidFill>
                <a:effectLst/>
                <a:uLnTx/>
                <a:uFillTx/>
                <a:latin typeface="Arial" panose="020B0604020202020204"/>
                <a:ea typeface="+mn-ea"/>
                <a:cs typeface="+mn-cs"/>
              </a:endParaRPr>
            </a:p>
          </xdr:txBody>
        </xdr:sp>
      </mc:Choice>
      <mc:Fallback xmlns="">
        <xdr:sp macro="" textlink="">
          <xdr:nvSpPr>
            <xdr:cNvPr id="46" name="TextBox 45">
              <a:extLst>
                <a:ext uri="{FF2B5EF4-FFF2-40B4-BE49-F238E27FC236}">
                  <a16:creationId xmlns:a16="http://schemas.microsoft.com/office/drawing/2014/main" id="{EABF12F5-77ED-476E-A997-90BF561017EB}"/>
                </a:ext>
              </a:extLst>
            </xdr:cNvPr>
            <xdr:cNvSpPr txBox="1"/>
          </xdr:nvSpPr>
          <xdr:spPr>
            <a:xfrm>
              <a:off x="7442415" y="1791993"/>
              <a:ext cx="1888855" cy="1000932"/>
            </a:xfrm>
            <a:prstGeom prst="rect">
              <a:avLst/>
            </a:prstGeom>
            <a:noFill/>
            <a:ln>
              <a:noFill/>
            </a:ln>
            <a:effectLst/>
          </xdr:spPr>
          <xdr:txBody>
            <a:bodyPr vertOverflow="clip" horzOverflow="clip" wrap="none" lIns="0" tIns="0" rIns="0" bIns="0" rtlCol="0" anchor="ctr">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l-GR" sz="900" b="0" i="0" u="none" strike="noStrike" kern="0" cap="none" spc="0" normalizeH="0" baseline="0" noProof="0">
                  <a:ln>
                    <a:noFill/>
                  </a:ln>
                  <a:solidFill>
                    <a:sysClr val="windowText" lastClr="000000"/>
                  </a:solidFill>
                  <a:effectLst/>
                  <a:uLnTx/>
                  <a:uFillTx/>
                  <a:latin typeface="Arial" panose="020B0604020202020204"/>
                  <a:ea typeface="+mn-ea"/>
                  <a:cs typeface="+mn-cs"/>
                </a:rPr>
                <a:t>Δ</a:t>
              </a:r>
              <a:r>
                <a:rPr kumimoji="0" lang="lt-LT"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YN(t−1)</a:t>
              </a:r>
              <a:r>
                <a:rPr kumimoji="0" lang="en-US"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&lt;</a:t>
              </a:r>
              <a:br>
                <a:rPr kumimoji="0" lang="lt-LT"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br>
              <a:r>
                <a:rPr kumimoji="0" lang="lt-LT"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1/5 ∑</a:t>
              </a:r>
              <a:r>
                <a:rPr kumimoji="0" lang="en-US"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_</a:t>
              </a:r>
              <a:r>
                <a:rPr kumimoji="0" lang="lt-LT"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(𝑗</a:t>
              </a:r>
              <a:r>
                <a:rPr kumimoji="0" lang="ru-RU"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a:t>
              </a:r>
              <a:r>
                <a:rPr kumimoji="0" lang="en-US"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1</a:t>
              </a:r>
              <a:r>
                <a:rPr kumimoji="0" lang="lt-LT"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a:t>
              </a:r>
              <a:r>
                <a:rPr kumimoji="0" lang="ru-RU"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^5</a:t>
              </a:r>
              <a:r>
                <a:rPr kumimoji="0" lang="lt-LT"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a:t>
              </a:r>
              <a:r>
                <a:rPr kumimoji="0" lang="ru-RU"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a:t>
              </a:r>
              <a:r>
                <a:rPr kumimoji="0" lang="el-GR"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Δ</a:t>
              </a:r>
              <a:r>
                <a:rPr kumimoji="0" lang="lt-LT"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YN_</a:t>
              </a:r>
              <a:r>
                <a:rPr kumimoji="0" lang="en-US"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E</a:t>
              </a:r>
              <a:r>
                <a:rPr kumimoji="0" lang="lt-LT"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S</a:t>
              </a:r>
              <a:r>
                <a:rPr kumimoji="0" lang="en-US"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 (t</a:t>
              </a:r>
              <a:r>
                <a:rPr kumimoji="0" lang="lt-LT"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−𝑗) </a:t>
              </a:r>
              <a:r>
                <a:rPr kumimoji="0" lang="ru-RU"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a:t>
              </a:r>
              <a:r>
                <a:rPr kumimoji="0" lang="en-US"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+2</a:t>
              </a:r>
              <a:endParaRPr kumimoji="0" lang="lt-LT" sz="900" b="0" i="0" u="none" strike="noStrike" kern="0" cap="none" spc="0" normalizeH="0" baseline="0" noProof="0">
                <a:ln>
                  <a:noFill/>
                </a:ln>
                <a:solidFill>
                  <a:sysClr val="windowText" lastClr="000000"/>
                </a:solidFill>
                <a:effectLst/>
                <a:uLnTx/>
                <a:uFillTx/>
                <a:latin typeface="Arial" panose="020B0604020202020204"/>
                <a:ea typeface="+mn-ea"/>
                <a:cs typeface="+mn-cs"/>
              </a:endParaRPr>
            </a:p>
          </xdr:txBody>
        </xdr:sp>
      </mc:Fallback>
    </mc:AlternateContent>
    <xdr:clientData/>
  </xdr:twoCellAnchor>
  <xdr:twoCellAnchor editAs="oneCell">
    <xdr:from>
      <xdr:col>3</xdr:col>
      <xdr:colOff>597165</xdr:colOff>
      <xdr:row>35</xdr:row>
      <xdr:rowOff>509532</xdr:rowOff>
    </xdr:from>
    <xdr:to>
      <xdr:col>4</xdr:col>
      <xdr:colOff>869238</xdr:colOff>
      <xdr:row>36</xdr:row>
      <xdr:rowOff>53296</xdr:rowOff>
    </xdr:to>
    <mc:AlternateContent xmlns:mc="http://schemas.openxmlformats.org/markup-compatibility/2006" xmlns:a14="http://schemas.microsoft.com/office/drawing/2010/main">
      <mc:Choice Requires="a14">
        <xdr:sp macro="" textlink="">
          <xdr:nvSpPr>
            <xdr:cNvPr id="44" name="TextBox 43">
              <a:extLst>
                <a:ext uri="{FF2B5EF4-FFF2-40B4-BE49-F238E27FC236}">
                  <a16:creationId xmlns:a16="http://schemas.microsoft.com/office/drawing/2014/main" id="{61B785E0-D74D-4E0B-946A-C1AF9F09DAEA}"/>
                </a:ext>
              </a:extLst>
            </xdr:cNvPr>
            <xdr:cNvSpPr txBox="1"/>
          </xdr:nvSpPr>
          <xdr:spPr>
            <a:xfrm>
              <a:off x="7931415" y="13082532"/>
              <a:ext cx="1243623" cy="420064"/>
            </a:xfrm>
            <a:prstGeom prst="rect">
              <a:avLst/>
            </a:prstGeom>
            <a:noFill/>
            <a:ln>
              <a:noFill/>
            </a:ln>
            <a:effectLst/>
          </xdr:spPr>
          <xdr:txBody>
            <a:bodyPr vertOverflow="clip" horzOverflow="clip" wrap="none" lIns="0" tIns="0" rIns="0" bIns="0"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sSub>
                      <m:sSubPr>
                        <m:ctrlP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ctrlPr>
                      </m:sSubPr>
                      <m:e>
                        <m: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𝑑</m:t>
                        </m:r>
                      </m:e>
                      <m:sub>
                        <m: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𝑡</m:t>
                        </m:r>
                      </m:sub>
                    </m:sSub>
                    <m: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m:t>
                    </m:r>
                    <m:rad>
                      <m:radPr>
                        <m:ctrlP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ctrlPr>
                      </m:radPr>
                      <m:deg>
                        <m:r>
                          <m:rPr>
                            <m:brk m:alnAt="7"/>
                          </m:rPr>
                          <a:rPr kumimoji="0" lang="lt-LT"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4</m:t>
                        </m:r>
                      </m:deg>
                      <m:e>
                        <m:nary>
                          <m:naryPr>
                            <m:chr m:val="∏"/>
                            <m:limLoc m:val="subSup"/>
                            <m:ctrlP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ctrlPr>
                          </m:naryPr>
                          <m:sub>
                            <m:r>
                              <m:rPr>
                                <m:brk m:alnAt="25"/>
                              </m:rPr>
                              <a:rPr kumimoji="0" lang="lt-LT"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𝑘</m:t>
                            </m:r>
                            <m: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m:t>
                            </m:r>
                            <m:r>
                              <a:rPr kumimoji="0" lang="lt-LT"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1</m:t>
                            </m:r>
                          </m:sub>
                          <m:sup>
                            <m: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4</m:t>
                            </m:r>
                          </m:sup>
                          <m:e>
                            <m:f>
                              <m:fPr>
                                <m:ctrlP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ctrlPr>
                              </m:fPr>
                              <m:num>
                                <m:sSub>
                                  <m:sSubPr>
                                    <m:ctrlP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ctrlPr>
                                  </m:sSubPr>
                                  <m:e>
                                    <m:r>
                                      <m:rPr>
                                        <m:sty m:val="p"/>
                                      </m:rPr>
                                      <a:rPr kumimoji="0" lang="en-US"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P</m:t>
                                    </m:r>
                                  </m:e>
                                  <m:sub>
                                    <m:r>
                                      <m:rPr>
                                        <m:sty m:val="p"/>
                                      </m:rPr>
                                      <a:rPr kumimoji="0" lang="en-US"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k</m:t>
                                    </m:r>
                                  </m:sub>
                                </m:sSub>
                                <m:d>
                                  <m:dPr>
                                    <m:ctrlP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ctrlPr>
                                  </m:dPr>
                                  <m:e>
                                    <m:r>
                                      <m:rPr>
                                        <m:sty m:val="p"/>
                                      </m:rPr>
                                      <a:rPr kumimoji="0" lang="en-US"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t</m:t>
                                    </m:r>
                                  </m:e>
                                </m:d>
                              </m:num>
                              <m:den>
                                <m:sSub>
                                  <m:sSubPr>
                                    <m:ctrlP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ctrlPr>
                                  </m:sSubPr>
                                  <m:e>
                                    <m:r>
                                      <m:rPr>
                                        <m:sty m:val="p"/>
                                      </m:rPr>
                                      <a:rPr kumimoji="0" lang="en-US"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P</m:t>
                                    </m:r>
                                  </m:e>
                                  <m:sub>
                                    <m:r>
                                      <m:rPr>
                                        <m:sty m:val="p"/>
                                      </m:rPr>
                                      <a:rPr kumimoji="0" lang="en-US"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k</m:t>
                                    </m:r>
                                  </m:sub>
                                </m:sSub>
                                <m:d>
                                  <m:dPr>
                                    <m:ctrlP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ctrlPr>
                                  </m:dPr>
                                  <m:e>
                                    <m:r>
                                      <m:rPr>
                                        <m:sty m:val="p"/>
                                      </m:rPr>
                                      <a:rPr kumimoji="0" lang="en-US"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t</m:t>
                                    </m:r>
                                    <m: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−1</m:t>
                                    </m:r>
                                  </m:e>
                                </m:d>
                              </m:den>
                            </m:f>
                          </m:e>
                        </m:nary>
                      </m:e>
                    </m:rad>
                  </m:oMath>
                </m:oMathPara>
              </a14:m>
              <a:endParaRPr kumimoji="0" lang="lt-LT" sz="900" b="0" i="0" u="none" strike="noStrike" kern="0" cap="none" spc="0" normalizeH="0" baseline="0" noProof="0">
                <a:ln>
                  <a:noFill/>
                </a:ln>
                <a:solidFill>
                  <a:sysClr val="windowText" lastClr="000000"/>
                </a:solidFill>
                <a:effectLst/>
                <a:uLnTx/>
                <a:uFillTx/>
                <a:latin typeface="Arial" panose="020B0604020202020204"/>
                <a:ea typeface="+mn-ea"/>
                <a:cs typeface="+mn-cs"/>
              </a:endParaRPr>
            </a:p>
          </xdr:txBody>
        </xdr:sp>
      </mc:Choice>
      <mc:Fallback xmlns="">
        <xdr:sp macro="" textlink="">
          <xdr:nvSpPr>
            <xdr:cNvPr id="44" name="TextBox 43">
              <a:extLst>
                <a:ext uri="{FF2B5EF4-FFF2-40B4-BE49-F238E27FC236}">
                  <a16:creationId xmlns:a16="http://schemas.microsoft.com/office/drawing/2014/main" id="{61B785E0-D74D-4E0B-946A-C1AF9F09DAEA}"/>
                </a:ext>
              </a:extLst>
            </xdr:cNvPr>
            <xdr:cNvSpPr txBox="1"/>
          </xdr:nvSpPr>
          <xdr:spPr>
            <a:xfrm>
              <a:off x="7931415" y="13082532"/>
              <a:ext cx="1243623" cy="420064"/>
            </a:xfrm>
            <a:prstGeom prst="rect">
              <a:avLst/>
            </a:prstGeom>
            <a:noFill/>
            <a:ln>
              <a:noFill/>
            </a:ln>
            <a:effectLst/>
          </xdr:spPr>
          <xdr:txBody>
            <a:bodyPr vertOverflow="clip" horzOverflow="clip" wrap="none" lIns="0" tIns="0" rIns="0" bIns="0"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𝑑_𝑡=∜(∏2</a:t>
              </a:r>
              <a:r>
                <a:rPr kumimoji="0" lang="lt-LT"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_</a:t>
              </a:r>
              <a:r>
                <a:rPr kumimoji="0" lang="en-US"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a:t>
              </a:r>
              <a:r>
                <a:rPr kumimoji="0" lang="lt-LT"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𝑘</a:t>
              </a:r>
              <a:r>
                <a:rPr kumimoji="0" lang="en-US"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a:t>
              </a:r>
              <a:r>
                <a:rPr kumimoji="0" lang="lt-LT"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1</a:t>
              </a:r>
              <a:r>
                <a:rPr kumimoji="0" lang="en-US"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)^4▒(P_k (t))/(P_k (t−1) ))</a:t>
              </a:r>
              <a:endParaRPr kumimoji="0" lang="lt-LT" sz="900" b="0" i="0" u="none" strike="noStrike" kern="0" cap="none" spc="0" normalizeH="0" baseline="0" noProof="0">
                <a:ln>
                  <a:noFill/>
                </a:ln>
                <a:solidFill>
                  <a:sysClr val="windowText" lastClr="000000"/>
                </a:solidFill>
                <a:effectLst/>
                <a:uLnTx/>
                <a:uFillTx/>
                <a:latin typeface="Arial" panose="020B0604020202020204"/>
                <a:ea typeface="+mn-ea"/>
                <a:cs typeface="+mn-cs"/>
              </a:endParaRPr>
            </a:p>
          </xdr:txBody>
        </xdr:sp>
      </mc:Fallback>
    </mc:AlternateContent>
    <xdr:clientData/>
  </xdr:twoCellAnchor>
  <xdr:twoCellAnchor>
    <xdr:from>
      <xdr:col>3</xdr:col>
      <xdr:colOff>180975</xdr:colOff>
      <xdr:row>39</xdr:row>
      <xdr:rowOff>200024</xdr:rowOff>
    </xdr:from>
    <xdr:to>
      <xdr:col>4</xdr:col>
      <xdr:colOff>1186660</xdr:colOff>
      <xdr:row>40</xdr:row>
      <xdr:rowOff>0</xdr:rowOff>
    </xdr:to>
    <mc:AlternateContent xmlns:mc="http://schemas.openxmlformats.org/markup-compatibility/2006" xmlns:a14="http://schemas.microsoft.com/office/drawing/2010/main">
      <mc:Choice Requires="a14">
        <xdr:sp macro="" textlink="">
          <xdr:nvSpPr>
            <xdr:cNvPr id="9" name="TextBox 8">
              <a:extLst>
                <a:ext uri="{FF2B5EF4-FFF2-40B4-BE49-F238E27FC236}">
                  <a16:creationId xmlns:a16="http://schemas.microsoft.com/office/drawing/2014/main" id="{063CFE38-61B3-4C8E-B9B0-D146ACE20485}"/>
                </a:ext>
              </a:extLst>
            </xdr:cNvPr>
            <xdr:cNvSpPr txBox="1"/>
          </xdr:nvSpPr>
          <xdr:spPr>
            <a:xfrm>
              <a:off x="7591425" y="14716124"/>
              <a:ext cx="1977235" cy="4286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pPr/>
              <a14:m>
                <m:oMathPara xmlns:m="http://schemas.openxmlformats.org/officeDocument/2006/math">
                  <m:oMathParaPr>
                    <m:jc m:val="centerGroup"/>
                  </m:oMathParaPr>
                  <m:oMath xmlns:m="http://schemas.openxmlformats.org/officeDocument/2006/math">
                    <m:f>
                      <m:fPr>
                        <m:ctrlPr>
                          <a:rPr lang="en-US" sz="800" b="0" i="1">
                            <a:latin typeface="Cambria Math" panose="02040503050406030204" pitchFamily="18" charset="0"/>
                          </a:rPr>
                        </m:ctrlPr>
                      </m:fPr>
                      <m:num>
                        <m:r>
                          <m:rPr>
                            <m:sty m:val="p"/>
                          </m:rPr>
                          <a:rPr lang="lt-LT" sz="800" b="0" i="0">
                            <a:latin typeface="Cambria Math" panose="02040503050406030204" pitchFamily="18" charset="0"/>
                          </a:rPr>
                          <m:t>VI</m:t>
                        </m:r>
                        <m:d>
                          <m:dPr>
                            <m:ctrlPr>
                              <a:rPr lang="en-US" sz="800" b="0" i="1">
                                <a:latin typeface="Cambria Math" panose="02040503050406030204" pitchFamily="18" charset="0"/>
                              </a:rPr>
                            </m:ctrlPr>
                          </m:dPr>
                          <m:e>
                            <m:r>
                              <m:rPr>
                                <m:sty m:val="p"/>
                              </m:rPr>
                              <a:rPr lang="en-US" sz="800" b="0" i="0">
                                <a:latin typeface="Cambria Math" panose="02040503050406030204" pitchFamily="18" charset="0"/>
                              </a:rPr>
                              <m:t>t</m:t>
                            </m:r>
                          </m:e>
                        </m:d>
                        <m:r>
                          <a:rPr lang="en-US" sz="800" b="0" i="1">
                            <a:latin typeface="Cambria Math" panose="02040503050406030204" pitchFamily="18" charset="0"/>
                          </a:rPr>
                          <m:t>−</m:t>
                        </m:r>
                        <m:r>
                          <m:rPr>
                            <m:sty m:val="p"/>
                          </m:rPr>
                          <a:rPr lang="en-US" sz="800" b="0" i="0">
                            <a:latin typeface="Cambria Math" panose="02040503050406030204" pitchFamily="18" charset="0"/>
                          </a:rPr>
                          <m:t>ES</m:t>
                        </m:r>
                        <m:r>
                          <a:rPr lang="en-US" sz="800" b="0" i="1">
                            <a:latin typeface="Cambria Math" panose="02040503050406030204" pitchFamily="18" charset="0"/>
                          </a:rPr>
                          <m:t>(</m:t>
                        </m:r>
                        <m:r>
                          <m:rPr>
                            <m:sty m:val="p"/>
                          </m:rPr>
                          <a:rPr lang="en-US" sz="800" b="0" i="0">
                            <a:latin typeface="Cambria Math" panose="02040503050406030204" pitchFamily="18" charset="0"/>
                          </a:rPr>
                          <m:t>t</m:t>
                        </m:r>
                        <m:r>
                          <a:rPr lang="en-US" sz="800" b="0" i="1">
                            <a:latin typeface="Cambria Math" panose="02040503050406030204" pitchFamily="18" charset="0"/>
                          </a:rPr>
                          <m:t>)</m:t>
                        </m:r>
                      </m:num>
                      <m:den>
                        <m:r>
                          <m:rPr>
                            <m:sty m:val="p"/>
                          </m:rPr>
                          <a:rPr lang="lt-LT" sz="800" b="0" i="0">
                            <a:latin typeface="Cambria Math" panose="02040503050406030204" pitchFamily="18" charset="0"/>
                          </a:rPr>
                          <m:t>VI</m:t>
                        </m:r>
                        <m:d>
                          <m:dPr>
                            <m:ctrlPr>
                              <a:rPr lang="en-US" sz="800" b="0" i="1">
                                <a:latin typeface="Cambria Math" panose="02040503050406030204" pitchFamily="18" charset="0"/>
                              </a:rPr>
                            </m:ctrlPr>
                          </m:dPr>
                          <m:e>
                            <m:r>
                              <m:rPr>
                                <m:sty m:val="p"/>
                              </m:rPr>
                              <a:rPr lang="en-US" sz="800" b="0" i="0">
                                <a:latin typeface="Cambria Math" panose="02040503050406030204" pitchFamily="18" charset="0"/>
                              </a:rPr>
                              <m:t>t</m:t>
                            </m:r>
                            <m:r>
                              <a:rPr lang="en-US" sz="800" b="0" i="0">
                                <a:latin typeface="Cambria Math" panose="02040503050406030204" pitchFamily="18" charset="0"/>
                              </a:rPr>
                              <m:t>−1</m:t>
                            </m:r>
                          </m:e>
                        </m:d>
                        <m:r>
                          <a:rPr lang="en-US" sz="800" b="0" i="1">
                            <a:latin typeface="Cambria Math" panose="02040503050406030204" pitchFamily="18" charset="0"/>
                          </a:rPr>
                          <m:t>−</m:t>
                        </m:r>
                        <m:r>
                          <m:rPr>
                            <m:sty m:val="p"/>
                          </m:rPr>
                          <a:rPr lang="en-US" sz="800" b="0" i="0">
                            <a:latin typeface="Cambria Math" panose="02040503050406030204" pitchFamily="18" charset="0"/>
                          </a:rPr>
                          <m:t>ES</m:t>
                        </m:r>
                        <m:r>
                          <a:rPr lang="en-US" sz="800" b="0" i="1">
                            <a:latin typeface="Cambria Math" panose="02040503050406030204" pitchFamily="18" charset="0"/>
                          </a:rPr>
                          <m:t>(</m:t>
                        </m:r>
                        <m:r>
                          <m:rPr>
                            <m:sty m:val="p"/>
                          </m:rPr>
                          <a:rPr lang="en-US" sz="800" b="0" i="0">
                            <a:latin typeface="Cambria Math" panose="02040503050406030204" pitchFamily="18" charset="0"/>
                          </a:rPr>
                          <m:t>t</m:t>
                        </m:r>
                        <m:r>
                          <a:rPr lang="en-US" sz="800" b="0" i="1">
                            <a:latin typeface="Cambria Math" panose="02040503050406030204" pitchFamily="18" charset="0"/>
                          </a:rPr>
                          <m:t>−1)</m:t>
                        </m:r>
                      </m:den>
                    </m:f>
                    <m:r>
                      <a:rPr lang="en-US" sz="800" b="0" i="1">
                        <a:latin typeface="Cambria Math" panose="02040503050406030204" pitchFamily="18" charset="0"/>
                        <a:ea typeface="Cambria Math" panose="02040503050406030204" pitchFamily="18" charset="0"/>
                      </a:rPr>
                      <m:t>≤</m:t>
                    </m:r>
                    <m:r>
                      <a:rPr lang="en-US" sz="1050" b="0" i="1">
                        <a:solidFill>
                          <a:schemeClr val="tx1"/>
                        </a:solidFill>
                        <a:effectLst/>
                        <a:latin typeface="Cambria Math" panose="02040503050406030204" pitchFamily="18" charset="0"/>
                        <a:ea typeface="+mn-ea"/>
                        <a:cs typeface="+mn-cs"/>
                      </a:rPr>
                      <m:t>1+</m:t>
                    </m:r>
                    <m:sSub>
                      <m:sSubPr>
                        <m:ctrlPr>
                          <a:rPr lang="en-US" sz="1050" b="0" i="1">
                            <a:solidFill>
                              <a:schemeClr val="tx1"/>
                            </a:solidFill>
                            <a:effectLst/>
                            <a:latin typeface="Cambria Math" panose="02040503050406030204" pitchFamily="18" charset="0"/>
                            <a:ea typeface="+mn-ea"/>
                            <a:cs typeface="+mn-cs"/>
                          </a:rPr>
                        </m:ctrlPr>
                      </m:sSubPr>
                      <m:e>
                        <m:r>
                          <a:rPr lang="en-US" sz="1050" b="0" i="0">
                            <a:solidFill>
                              <a:schemeClr val="tx1"/>
                            </a:solidFill>
                            <a:effectLst/>
                            <a:latin typeface="Cambria Math" panose="02040503050406030204" pitchFamily="18" charset="0"/>
                            <a:ea typeface="+mn-ea"/>
                            <a:cs typeface="+mn-cs"/>
                          </a:rPr>
                          <m:t>0,5⋅</m:t>
                        </m:r>
                        <m:r>
                          <m:rPr>
                            <m:sty m:val="p"/>
                          </m:rPr>
                          <a:rPr lang="en-US" sz="1050" b="0" i="0">
                            <a:solidFill>
                              <a:schemeClr val="tx1"/>
                            </a:solidFill>
                            <a:effectLst/>
                            <a:latin typeface="Cambria Math" panose="02040503050406030204" pitchFamily="18" charset="0"/>
                            <a:ea typeface="+mn-ea"/>
                            <a:cs typeface="+mn-cs"/>
                          </a:rPr>
                          <m:t>Y</m:t>
                        </m:r>
                      </m:e>
                      <m:sub>
                        <m:r>
                          <m:rPr>
                            <m:sty m:val="p"/>
                          </m:rPr>
                          <a:rPr lang="en-US" sz="1050" b="0" i="0">
                            <a:solidFill>
                              <a:schemeClr val="tx1"/>
                            </a:solidFill>
                            <a:effectLst/>
                            <a:latin typeface="Cambria Math" panose="02040503050406030204" pitchFamily="18" charset="0"/>
                            <a:ea typeface="+mn-ea"/>
                            <a:cs typeface="+mn-cs"/>
                          </a:rPr>
                          <m:t>np</m:t>
                        </m:r>
                        <m:r>
                          <a:rPr lang="en-US" sz="1050" b="0" i="0">
                            <a:solidFill>
                              <a:schemeClr val="tx1"/>
                            </a:solidFill>
                            <a:effectLst/>
                            <a:latin typeface="Cambria Math" panose="02040503050406030204" pitchFamily="18" charset="0"/>
                            <a:ea typeface="+mn-ea"/>
                            <a:cs typeface="+mn-cs"/>
                          </a:rPr>
                          <m:t>10</m:t>
                        </m:r>
                        <m:r>
                          <m:rPr>
                            <m:sty m:val="p"/>
                          </m:rPr>
                          <a:rPr lang="en-US" sz="1050" b="0" i="0">
                            <a:solidFill>
                              <a:schemeClr val="tx1"/>
                            </a:solidFill>
                            <a:effectLst/>
                            <a:latin typeface="Cambria Math" panose="02040503050406030204" pitchFamily="18" charset="0"/>
                            <a:ea typeface="+mn-ea"/>
                            <a:cs typeface="+mn-cs"/>
                          </a:rPr>
                          <m:t>t</m:t>
                        </m:r>
                      </m:sub>
                    </m:sSub>
                  </m:oMath>
                </m:oMathPara>
              </a14:m>
              <a:endParaRPr lang="lt-LT" sz="800" i="0"/>
            </a:p>
          </xdr:txBody>
        </xdr:sp>
      </mc:Choice>
      <mc:Fallback xmlns="">
        <xdr:sp macro="" textlink="">
          <xdr:nvSpPr>
            <xdr:cNvPr id="9" name="TextBox 8">
              <a:extLst>
                <a:ext uri="{FF2B5EF4-FFF2-40B4-BE49-F238E27FC236}">
                  <a16:creationId xmlns:a16="http://schemas.microsoft.com/office/drawing/2014/main" id="{063CFE38-61B3-4C8E-B9B0-D146ACE20485}"/>
                </a:ext>
              </a:extLst>
            </xdr:cNvPr>
            <xdr:cNvSpPr txBox="1"/>
          </xdr:nvSpPr>
          <xdr:spPr>
            <a:xfrm>
              <a:off x="7591425" y="14716124"/>
              <a:ext cx="1977235" cy="4286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pPr/>
              <a:r>
                <a:rPr lang="en-US" sz="800" b="0" i="0">
                  <a:latin typeface="Cambria Math" panose="02040503050406030204" pitchFamily="18" charset="0"/>
                </a:rPr>
                <a:t>(</a:t>
              </a:r>
              <a:r>
                <a:rPr lang="lt-LT" sz="800" b="0" i="0">
                  <a:latin typeface="Cambria Math" panose="02040503050406030204" pitchFamily="18" charset="0"/>
                </a:rPr>
                <a:t>VI</a:t>
              </a:r>
              <a:r>
                <a:rPr lang="en-US" sz="800" b="0" i="0">
                  <a:latin typeface="Cambria Math" panose="02040503050406030204" pitchFamily="18" charset="0"/>
                </a:rPr>
                <a:t>(t)−ES(t))/(</a:t>
              </a:r>
              <a:r>
                <a:rPr lang="lt-LT" sz="800" b="0" i="0">
                  <a:latin typeface="Cambria Math" panose="02040503050406030204" pitchFamily="18" charset="0"/>
                </a:rPr>
                <a:t>VI</a:t>
              </a:r>
              <a:r>
                <a:rPr lang="en-US" sz="800" b="0" i="0">
                  <a:latin typeface="Cambria Math" panose="02040503050406030204" pitchFamily="18" charset="0"/>
                </a:rPr>
                <a:t>(t−1)−ES(t−1))</a:t>
              </a:r>
              <a:r>
                <a:rPr lang="en-US" sz="800" b="0" i="0">
                  <a:latin typeface="Cambria Math" panose="02040503050406030204" pitchFamily="18" charset="0"/>
                  <a:ea typeface="Cambria Math" panose="02040503050406030204" pitchFamily="18" charset="0"/>
                </a:rPr>
                <a:t>≤</a:t>
              </a:r>
              <a:r>
                <a:rPr lang="en-US" sz="1050" b="0" i="0">
                  <a:solidFill>
                    <a:schemeClr val="tx1"/>
                  </a:solidFill>
                  <a:effectLst/>
                  <a:latin typeface="Cambria Math" panose="02040503050406030204" pitchFamily="18" charset="0"/>
                  <a:ea typeface="+mn-ea"/>
                  <a:cs typeface="+mn-cs"/>
                </a:rPr>
                <a:t>1+〖0,5⋅Y〗_np10t</a:t>
              </a:r>
              <a:endParaRPr lang="lt-LT" sz="800" i="0"/>
            </a:p>
          </xdr:txBody>
        </xdr:sp>
      </mc:Fallback>
    </mc:AlternateContent>
    <xdr:clientData/>
  </xdr:twoCellAnchor>
</xdr:wsDr>
</file>

<file path=xl/theme/theme1.xml><?xml version="1.0" encoding="utf-8"?>
<a:theme xmlns:a="http://schemas.openxmlformats.org/drawingml/2006/main" name="„Office“ tema">
  <a:themeElements>
    <a:clrScheme name="Pasirinktinis 1">
      <a:dk1>
        <a:sysClr val="windowText" lastClr="000000"/>
      </a:dk1>
      <a:lt1>
        <a:sysClr val="window" lastClr="FFFFFF"/>
      </a:lt1>
      <a:dk2>
        <a:srgbClr val="44546A"/>
      </a:dk2>
      <a:lt2>
        <a:srgbClr val="E7E6E6"/>
      </a:lt2>
      <a:accent1>
        <a:srgbClr val="00244D"/>
      </a:accent1>
      <a:accent2>
        <a:srgbClr val="47ABD9"/>
      </a:accent2>
      <a:accent3>
        <a:srgbClr val="D41A1F"/>
      </a:accent3>
      <a:accent4>
        <a:srgbClr val="D1D1D1"/>
      </a:accent4>
      <a:accent5>
        <a:srgbClr val="666261"/>
      </a:accent5>
      <a:accent6>
        <a:srgbClr val="8D8473"/>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e-seimas.lrs.lt/portal/legalAct/en/TAD/TAIS.347753?jfwid=-wd7z8myik" TargetMode="External"/><Relationship Id="rId2" Type="http://schemas.openxmlformats.org/officeDocument/2006/relationships/hyperlink" Target="http://www3.lrs.lt/pls/inter3/dokpaieska.showdoc_l?p_id=487269" TargetMode="External"/><Relationship Id="rId1" Type="http://schemas.openxmlformats.org/officeDocument/2006/relationships/hyperlink" Target="http://www3.lrs.lt/pls/inter3/dokpaieska.showdoc_l?p_id=487268&amp;p_tr2=2"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s://e-seimas.lrs.lt/portal/legalAct/lt/TAD/c4be7b32bb6b11e4a939cd67303e5a1f"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A4C121-6EAF-4C24-A89B-0497398ABDFB}">
  <sheetPr codeName="Lapas1">
    <tabColor rgb="FF00244D"/>
  </sheetPr>
  <dimension ref="C1:G32"/>
  <sheetViews>
    <sheetView showGridLines="0" showRowColHeaders="0" tabSelected="1" workbookViewId="0">
      <selection activeCell="B1" sqref="B1"/>
    </sheetView>
  </sheetViews>
  <sheetFormatPr defaultColWidth="10" defaultRowHeight="13.8" x14ac:dyDescent="0.25"/>
  <cols>
    <col min="1" max="1" width="0.44140625" style="221" customWidth="1"/>
    <col min="2" max="2" width="3.5546875" style="221" customWidth="1"/>
    <col min="3" max="3" width="4.5546875" style="254" customWidth="1"/>
    <col min="4" max="4" width="99.6640625" style="254" customWidth="1"/>
    <col min="5" max="5" width="3.6640625" style="221" customWidth="1"/>
    <col min="6" max="6" width="10" style="221"/>
    <col min="7" max="7" width="10.5546875" style="221" customWidth="1"/>
    <col min="8" max="16384" width="10" style="221"/>
  </cols>
  <sheetData>
    <row r="1" spans="3:7" ht="109.5" customHeight="1" thickBot="1" x14ac:dyDescent="0.3">
      <c r="C1" s="291"/>
      <c r="D1" s="292"/>
      <c r="E1" s="293"/>
    </row>
    <row r="2" spans="3:7" x14ac:dyDescent="0.25">
      <c r="C2" s="239"/>
      <c r="D2" s="240"/>
      <c r="E2" s="241"/>
    </row>
    <row r="3" spans="3:7" ht="35.25" customHeight="1" x14ac:dyDescent="0.25">
      <c r="C3" s="477" t="s">
        <v>0</v>
      </c>
      <c r="D3" s="478"/>
      <c r="E3" s="242"/>
    </row>
    <row r="4" spans="3:7" x14ac:dyDescent="0.25">
      <c r="C4" s="243"/>
      <c r="D4" s="244"/>
      <c r="E4" s="245"/>
    </row>
    <row r="5" spans="3:7" ht="16.2" customHeight="1" x14ac:dyDescent="0.25">
      <c r="C5" s="294" t="s">
        <v>321</v>
      </c>
      <c r="D5" s="295"/>
      <c r="E5" s="246"/>
      <c r="G5" s="247"/>
    </row>
    <row r="6" spans="3:7" x14ac:dyDescent="0.25">
      <c r="C6" s="243"/>
      <c r="D6" s="244"/>
      <c r="E6" s="245"/>
    </row>
    <row r="7" spans="3:7" ht="17.399999999999999" x14ac:dyDescent="0.3">
      <c r="C7" s="296" t="s">
        <v>1</v>
      </c>
      <c r="D7" s="297"/>
      <c r="E7" s="248"/>
    </row>
    <row r="8" spans="3:7" x14ac:dyDescent="0.25">
      <c r="C8" s="243"/>
      <c r="D8" s="244"/>
      <c r="E8" s="245"/>
    </row>
    <row r="9" spans="3:7" ht="171.75" customHeight="1" x14ac:dyDescent="0.25">
      <c r="C9" s="243"/>
      <c r="D9" s="249" t="s">
        <v>278</v>
      </c>
      <c r="E9" s="250"/>
    </row>
    <row r="10" spans="3:7" x14ac:dyDescent="0.25">
      <c r="C10" s="243"/>
      <c r="D10" s="244"/>
      <c r="E10" s="245"/>
    </row>
    <row r="11" spans="3:7" ht="17.399999999999999" x14ac:dyDescent="0.3">
      <c r="C11" s="296" t="s">
        <v>279</v>
      </c>
      <c r="D11" s="297"/>
      <c r="E11" s="248"/>
    </row>
    <row r="12" spans="3:7" x14ac:dyDescent="0.25">
      <c r="C12" s="243"/>
      <c r="D12" s="244"/>
      <c r="E12" s="245"/>
    </row>
    <row r="13" spans="3:7" x14ac:dyDescent="0.25">
      <c r="C13" s="243"/>
      <c r="D13" s="255" t="s">
        <v>2</v>
      </c>
      <c r="E13" s="245"/>
    </row>
    <row r="14" spans="3:7" x14ac:dyDescent="0.25">
      <c r="C14" s="243"/>
      <c r="D14" s="244"/>
      <c r="E14" s="245"/>
    </row>
    <row r="15" spans="3:7" ht="17.399999999999999" x14ac:dyDescent="0.3">
      <c r="C15" s="296" t="s">
        <v>3</v>
      </c>
      <c r="D15" s="297"/>
      <c r="E15" s="248"/>
    </row>
    <row r="16" spans="3:7" x14ac:dyDescent="0.25">
      <c r="C16" s="243"/>
      <c r="D16" s="244"/>
      <c r="E16" s="245"/>
    </row>
    <row r="17" spans="3:5" x14ac:dyDescent="0.25">
      <c r="C17" s="243"/>
      <c r="D17" s="255" t="s">
        <v>4</v>
      </c>
      <c r="E17" s="245"/>
    </row>
    <row r="18" spans="3:5" x14ac:dyDescent="0.25">
      <c r="C18" s="243"/>
      <c r="D18" s="255" t="s">
        <v>5</v>
      </c>
      <c r="E18" s="245"/>
    </row>
    <row r="19" spans="3:5" x14ac:dyDescent="0.25">
      <c r="C19" s="243"/>
      <c r="D19" s="244"/>
      <c r="E19" s="245"/>
    </row>
    <row r="20" spans="3:5" ht="17.399999999999999" x14ac:dyDescent="0.3">
      <c r="C20" s="296" t="s">
        <v>6</v>
      </c>
      <c r="D20" s="297"/>
      <c r="E20" s="248"/>
    </row>
    <row r="21" spans="3:5" x14ac:dyDescent="0.25">
      <c r="C21" s="243"/>
      <c r="D21" s="244"/>
      <c r="E21" s="245"/>
    </row>
    <row r="22" spans="3:5" x14ac:dyDescent="0.25">
      <c r="C22" s="243"/>
      <c r="D22" s="255" t="s">
        <v>7</v>
      </c>
      <c r="E22" s="245"/>
    </row>
    <row r="23" spans="3:5" x14ac:dyDescent="0.25">
      <c r="C23" s="243"/>
      <c r="D23" s="255" t="s">
        <v>8</v>
      </c>
      <c r="E23" s="245"/>
    </row>
    <row r="24" spans="3:5" x14ac:dyDescent="0.25">
      <c r="C24" s="243"/>
      <c r="D24" s="255" t="s">
        <v>9</v>
      </c>
      <c r="E24" s="245"/>
    </row>
    <row r="25" spans="3:5" x14ac:dyDescent="0.25">
      <c r="C25" s="243"/>
      <c r="D25" s="244"/>
      <c r="E25" s="245"/>
    </row>
    <row r="26" spans="3:5" ht="17.399999999999999" x14ac:dyDescent="0.3">
      <c r="C26" s="296" t="s">
        <v>10</v>
      </c>
      <c r="D26" s="297"/>
      <c r="E26" s="251"/>
    </row>
    <row r="27" spans="3:5" x14ac:dyDescent="0.25">
      <c r="C27" s="243"/>
      <c r="D27" s="244"/>
      <c r="E27" s="245"/>
    </row>
    <row r="28" spans="3:5" x14ac:dyDescent="0.25">
      <c r="C28" s="479" t="s">
        <v>11</v>
      </c>
      <c r="D28" s="480" t="s">
        <v>12</v>
      </c>
      <c r="E28" s="245"/>
    </row>
    <row r="29" spans="3:5" ht="14.4" x14ac:dyDescent="0.25">
      <c r="C29" s="481" t="s">
        <v>13</v>
      </c>
      <c r="D29" s="482" t="s">
        <v>14</v>
      </c>
      <c r="E29" s="252"/>
    </row>
    <row r="30" spans="3:5" x14ac:dyDescent="0.25">
      <c r="C30" s="479" t="s">
        <v>15</v>
      </c>
      <c r="D30" s="480" t="s">
        <v>16</v>
      </c>
      <c r="E30" s="245"/>
    </row>
    <row r="31" spans="3:5" ht="14.4" x14ac:dyDescent="0.25">
      <c r="C31" s="481" t="s">
        <v>17</v>
      </c>
      <c r="D31" s="482" t="s">
        <v>18</v>
      </c>
      <c r="E31" s="252"/>
    </row>
    <row r="32" spans="3:5" ht="9.6" customHeight="1" thickBot="1" x14ac:dyDescent="0.3">
      <c r="C32" s="483"/>
      <c r="D32" s="484"/>
      <c r="E32" s="253"/>
    </row>
  </sheetData>
  <mergeCells count="8">
    <mergeCell ref="C1:E1"/>
    <mergeCell ref="C3:D3"/>
    <mergeCell ref="C5:D5"/>
    <mergeCell ref="C7:D7"/>
    <mergeCell ref="C26:D26"/>
    <mergeCell ref="C11:D11"/>
    <mergeCell ref="C15:D15"/>
    <mergeCell ref="C20:D20"/>
  </mergeCells>
  <hyperlinks>
    <hyperlink ref="D17" location="'2. Macro'!A1" display="2. Makroekonominiai ir ciklo rodikliai / Macroeconomic and cyclical indicators" xr:uid="{DBF464BC-73E9-44C3-A94E-B343ACF238AF}"/>
    <hyperlink ref="D13" location="'1. Summary'!A1" display="1 lentelė. Fiskalinės drausmės taisyklių laikymosi suvestinė" xr:uid="{AEF63D21-93EE-4580-A93C-5F7556B874F7}"/>
    <hyperlink ref="D18" location="'3. GGbudget'!A1" display="3 lentelė. VS fiskaliniai rodikliai" xr:uid="{BDB2AEA3-417F-4710-8932-34AFAE77AEA2}"/>
    <hyperlink ref="D22" location="'4. SurplusGG'!A1" display="4 lentelė. Perteklinio VS taisyklė" xr:uid="{B039EE87-0B52-4BB5-819B-8154EEA0AEBB}"/>
    <hyperlink ref="D23" location="'5. GGexpenditure'!A1" display="5 lentelė. VS išlaidų augimo ribojimo taisyklė" xr:uid="{9CB7E7FD-E64A-4E3D-B843-517140A4F465}"/>
    <hyperlink ref="D24" location="'6. GGbudgets'!A1" display="6 lentelė. VS priskiriamų biudžetų taisyklė" xr:uid="{9619B179-650F-40CC-8D91-91DBA72A91EC}"/>
    <hyperlink ref="D28" r:id="rId1" display="http://www3.lrs.lt/pls/inter3/dokpaieska.showdoc_l?p_id=487268&amp;p_tr2=2" xr:uid="{DDC9A2C8-E1C0-4CF4-BC74-7FF78E256ED8}"/>
    <hyperlink ref="D30" r:id="rId2" display="Lietuvos Respublikos fiskalinės drausmės įstatymas" xr:uid="{F4FFA9C7-1444-4704-90F5-2ECFABD928E1}"/>
    <hyperlink ref="D31" r:id="rId3" xr:uid="{3C5B1BA1-E78A-448A-B1EF-3C53FDDD686B}"/>
    <hyperlink ref="D29" r:id="rId4" xr:uid="{AB0085CB-F5E8-4B40-995B-4E4EFCC9A3FD}"/>
  </hyperlinks>
  <pageMargins left="0.7" right="0.7" top="0.75" bottom="0.75" header="0.3" footer="0.3"/>
  <pageSetup orientation="portrait" r:id="rId5"/>
  <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D5CE57-DFC5-4CBB-82A9-BAA12C02B2A6}">
  <sheetPr codeName="Lapas2">
    <tabColor rgb="FF47ABD9"/>
  </sheetPr>
  <dimension ref="A1:E36"/>
  <sheetViews>
    <sheetView showGridLines="0" showRowColHeaders="0" topLeftCell="B1" zoomScaleNormal="100" workbookViewId="0">
      <selection activeCell="B1" sqref="B1"/>
    </sheetView>
  </sheetViews>
  <sheetFormatPr defaultColWidth="10" defaultRowHeight="13.8" x14ac:dyDescent="0.25"/>
  <cols>
    <col min="1" max="1" width="4.33203125" style="1" customWidth="1"/>
    <col min="2" max="2" width="59.109375" style="5" customWidth="1"/>
    <col min="3" max="4" width="19.44140625" style="5" customWidth="1"/>
    <col min="5" max="5" width="9.44140625" style="1" customWidth="1"/>
    <col min="6" max="6" width="51.6640625" style="1" customWidth="1"/>
    <col min="7" max="16384" width="10" style="1"/>
  </cols>
  <sheetData>
    <row r="1" spans="1:4" x14ac:dyDescent="0.25">
      <c r="B1" s="222" t="s">
        <v>19</v>
      </c>
      <c r="C1" s="3"/>
      <c r="D1" s="3"/>
    </row>
    <row r="2" spans="1:4" ht="14.4" thickBot="1" x14ac:dyDescent="0.3">
      <c r="A2" s="4" t="s">
        <v>20</v>
      </c>
    </row>
    <row r="3" spans="1:4" ht="35.25" customHeight="1" thickTop="1" thickBot="1" x14ac:dyDescent="0.3">
      <c r="B3" s="305" t="s">
        <v>323</v>
      </c>
      <c r="C3" s="306"/>
      <c r="D3" s="307"/>
    </row>
    <row r="4" spans="1:4" ht="17.25" customHeight="1" thickBot="1" x14ac:dyDescent="0.3">
      <c r="B4" s="85" t="s">
        <v>21</v>
      </c>
      <c r="C4" s="308"/>
      <c r="D4" s="309"/>
    </row>
    <row r="5" spans="1:4" ht="33" customHeight="1" thickBot="1" x14ac:dyDescent="0.35">
      <c r="B5" s="6" t="s">
        <v>22</v>
      </c>
      <c r="C5" s="86" t="s">
        <v>23</v>
      </c>
      <c r="D5" s="7" t="s">
        <v>24</v>
      </c>
    </row>
    <row r="6" spans="1:4" ht="17.399999999999999" customHeight="1" thickBot="1" x14ac:dyDescent="0.3">
      <c r="B6" s="300" t="s">
        <v>25</v>
      </c>
      <c r="C6" s="301"/>
      <c r="D6" s="302"/>
    </row>
    <row r="7" spans="1:4" ht="17.399999999999999" customHeight="1" thickBot="1" x14ac:dyDescent="0.3">
      <c r="B7" s="303" t="s">
        <v>26</v>
      </c>
      <c r="C7" s="155" t="str">
        <f>'4. SurplusGG'!E20</f>
        <v>Netaikoma</v>
      </c>
      <c r="D7" s="236" t="str">
        <f>'4. SurplusGG'!F20</f>
        <v>Netaikoma</v>
      </c>
    </row>
    <row r="8" spans="1:4" ht="53.4" customHeight="1" x14ac:dyDescent="0.25">
      <c r="B8" s="304"/>
      <c r="C8" s="156" t="str">
        <f>'4. SurplusGG'!E21</f>
        <v>Paskelbtos išskirtinės aplinkybės</v>
      </c>
      <c r="D8" s="175" t="str">
        <f>'4. SurplusGG'!F21</f>
        <v>Paskelbtos išskirtinės aplinkybės</v>
      </c>
    </row>
    <row r="9" spans="1:4" ht="15.75" customHeight="1" thickBot="1" x14ac:dyDescent="0.3">
      <c r="B9" s="310" t="s">
        <v>27</v>
      </c>
      <c r="C9" s="173" t="str">
        <f>'4. SurplusGG'!E22</f>
        <v>Not applicable</v>
      </c>
      <c r="D9" s="237" t="str">
        <f>'4. SurplusGG'!F22</f>
        <v>Not applicable</v>
      </c>
    </row>
    <row r="10" spans="1:4" ht="33" customHeight="1" thickBot="1" x14ac:dyDescent="0.3">
      <c r="B10" s="311"/>
      <c r="C10" s="174" t="str">
        <f>'4. SurplusGG'!E23</f>
        <v>Exceptional circumstances</v>
      </c>
      <c r="D10" s="238" t="str">
        <f>'4. SurplusGG'!F23</f>
        <v>Exceptional circumstances</v>
      </c>
    </row>
    <row r="11" spans="1:4" ht="17.25" customHeight="1" x14ac:dyDescent="0.25">
      <c r="B11" s="205" t="s">
        <v>28</v>
      </c>
      <c r="C11" s="298" t="str">
        <f>'4. SurplusGG'!E6</f>
        <v>Taip</v>
      </c>
      <c r="D11" s="299"/>
    </row>
    <row r="12" spans="1:4" ht="17.25" customHeight="1" thickBot="1" x14ac:dyDescent="0.3">
      <c r="B12" s="206" t="s">
        <v>29</v>
      </c>
      <c r="C12" s="312" t="str">
        <f>'4. SurplusGG'!E7</f>
        <v>Yes</v>
      </c>
      <c r="D12" s="313"/>
    </row>
    <row r="13" spans="1:4" ht="21" customHeight="1" thickBot="1" x14ac:dyDescent="0.3">
      <c r="B13" s="300" t="s">
        <v>30</v>
      </c>
      <c r="C13" s="301"/>
      <c r="D13" s="302"/>
    </row>
    <row r="14" spans="1:4" ht="18" customHeight="1" x14ac:dyDescent="0.25">
      <c r="B14" s="318" t="s">
        <v>31</v>
      </c>
      <c r="C14" s="8" t="str">
        <f>'5. GGexpenditure'!F27</f>
        <v>Taip</v>
      </c>
      <c r="D14" s="87" t="str">
        <f>'5. GGexpenditure'!G27</f>
        <v>Ne</v>
      </c>
    </row>
    <row r="15" spans="1:4" ht="37.5" customHeight="1" x14ac:dyDescent="0.25">
      <c r="B15" s="319"/>
      <c r="C15" s="168" t="str">
        <f>'5. GGexpenditure'!F28</f>
        <v>Susidaro A5 aplinkybė</v>
      </c>
      <c r="D15" s="157" t="str">
        <f>'5. GGexpenditure'!G28</f>
        <v>Išimčių nėra</v>
      </c>
    </row>
    <row r="16" spans="1:4" ht="18" customHeight="1" x14ac:dyDescent="0.25">
      <c r="B16" s="320" t="s">
        <v>32</v>
      </c>
      <c r="C16" s="169" t="str">
        <f>'5. GGexpenditure'!F29</f>
        <v>Yes</v>
      </c>
      <c r="D16" s="170" t="str">
        <f>'5. GGexpenditure'!G29</f>
        <v>No</v>
      </c>
    </row>
    <row r="17" spans="2:4" ht="52.5" customHeight="1" thickBot="1" x14ac:dyDescent="0.3">
      <c r="B17" s="320"/>
      <c r="C17" s="171" t="str">
        <f>'5. GGexpenditure'!F30</f>
        <v>Escape clause A5 emerge</v>
      </c>
      <c r="D17" s="172" t="str">
        <f>'5. GGexpenditure'!G30</f>
        <v>No escape clauses emerge</v>
      </c>
    </row>
    <row r="18" spans="2:4" ht="22.5" customHeight="1" x14ac:dyDescent="0.25">
      <c r="B18" s="318" t="s">
        <v>33</v>
      </c>
      <c r="C18" s="151" t="str">
        <f>'5. GGexpenditure'!F35</f>
        <v>Netaikoma</v>
      </c>
      <c r="D18" s="193" t="str">
        <f>'5. GGexpenditure'!G35</f>
        <v>Netaikoma</v>
      </c>
    </row>
    <row r="19" spans="2:4" ht="69" customHeight="1" x14ac:dyDescent="0.25">
      <c r="B19" s="319"/>
      <c r="C19" s="152" t="str">
        <f>'5. GGexpenditure'!F36</f>
        <v>Susidarė viena iš KĮ numatytų netaikymo aplinkybių</v>
      </c>
      <c r="D19" s="192" t="str">
        <f>'5. GGexpenditure'!G36</f>
        <v>Paskelbtos išskirtinės aplinkybės</v>
      </c>
    </row>
    <row r="20" spans="2:4" ht="14.4" x14ac:dyDescent="0.25">
      <c r="B20" s="320" t="s">
        <v>34</v>
      </c>
      <c r="C20" s="169" t="str">
        <f>'5. GGexpenditure'!F37</f>
        <v>Not applied</v>
      </c>
      <c r="D20" s="170" t="str">
        <f>'5. GGexpenditure'!G37</f>
        <v>Not applied</v>
      </c>
    </row>
    <row r="21" spans="2:4" ht="64.5" customHeight="1" thickBot="1" x14ac:dyDescent="0.3">
      <c r="B21" s="321"/>
      <c r="C21" s="90" t="str">
        <f>'5. GGexpenditure'!F38</f>
        <v>CL escape clause emerged</v>
      </c>
      <c r="D21" s="191" t="str">
        <f>'5. GGexpenditure'!G38</f>
        <v>Exceptional circumstances</v>
      </c>
    </row>
    <row r="22" spans="2:4" ht="19.5" customHeight="1" x14ac:dyDescent="0.25">
      <c r="B22" s="205" t="s">
        <v>35</v>
      </c>
      <c r="C22" s="168" t="s">
        <v>36</v>
      </c>
      <c r="D22" s="175" t="s">
        <v>37</v>
      </c>
    </row>
    <row r="23" spans="2:4" ht="15" thickBot="1" x14ac:dyDescent="0.3">
      <c r="B23" s="206" t="s">
        <v>38</v>
      </c>
      <c r="C23" s="90" t="s">
        <v>39</v>
      </c>
      <c r="D23" s="165" t="s">
        <v>39</v>
      </c>
    </row>
    <row r="24" spans="2:4" ht="15.75" customHeight="1" thickBot="1" x14ac:dyDescent="0.3">
      <c r="B24" s="300" t="s">
        <v>40</v>
      </c>
      <c r="C24" s="301" t="s">
        <v>41</v>
      </c>
      <c r="D24" s="302"/>
    </row>
    <row r="25" spans="2:4" ht="82.8" x14ac:dyDescent="0.25">
      <c r="B25" s="205" t="s">
        <v>42</v>
      </c>
      <c r="C25" s="84" t="str">
        <f>'6. GGbudgets'!E6:E6</f>
        <v>Savivaldybių biudžetų atitiktis fiskalinės drausmės taisyklėms bus vertinama 2022 m. birželio mėn.</v>
      </c>
      <c r="D25" s="162" t="str">
        <f>'6. GGbudgets'!F6:F6</f>
        <v>Savivaldybių biudžetų atitiktis fiskalinės drausmės taisyklėms bus vertinama 2022 m. birželio mėn.</v>
      </c>
    </row>
    <row r="26" spans="2:4" ht="29.4" thickBot="1" x14ac:dyDescent="0.3">
      <c r="B26" s="206" t="s">
        <v>43</v>
      </c>
      <c r="C26" s="89" t="str">
        <f>'6. GGbudgets'!E7:E7</f>
        <v>Will be assessed in June 2022</v>
      </c>
      <c r="D26" s="163" t="str">
        <f>'6. GGbudgets'!F7:F7</f>
        <v>Will be assessed in June 2022</v>
      </c>
    </row>
    <row r="27" spans="2:4" x14ac:dyDescent="0.25">
      <c r="B27" s="205" t="s">
        <v>44</v>
      </c>
      <c r="C27" s="151" t="str">
        <f>'6. GGbudgets'!E12</f>
        <v>Tenkinama</v>
      </c>
      <c r="D27" s="164" t="str">
        <f>'6. GGbudgets'!F12</f>
        <v>Tenkinama</v>
      </c>
    </row>
    <row r="28" spans="2:4" ht="15" thickBot="1" x14ac:dyDescent="0.3">
      <c r="B28" s="206" t="s">
        <v>45</v>
      </c>
      <c r="C28" s="90" t="str">
        <f>'6. GGbudgets'!E13</f>
        <v>Valid</v>
      </c>
      <c r="D28" s="165" t="str">
        <f>'6. GGbudgets'!F13</f>
        <v>Valid</v>
      </c>
    </row>
    <row r="29" spans="2:4" x14ac:dyDescent="0.25">
      <c r="B29" s="199" t="s">
        <v>46</v>
      </c>
      <c r="C29" s="152" t="str">
        <f>'6. GGbudgets'!E20</f>
        <v>Tenkinama</v>
      </c>
      <c r="D29" s="166" t="str">
        <f>'6. GGbudgets'!F20</f>
        <v>Tenkinama</v>
      </c>
    </row>
    <row r="30" spans="2:4" ht="15" thickBot="1" x14ac:dyDescent="0.3">
      <c r="B30" s="200" t="s">
        <v>47</v>
      </c>
      <c r="C30" s="220" t="str">
        <f>'6. GGbudgets'!E21</f>
        <v>Valid</v>
      </c>
      <c r="D30" s="167" t="str">
        <f>'6. GGbudgets'!F21</f>
        <v>Valid</v>
      </c>
    </row>
    <row r="31" spans="2:4" ht="121.5" customHeight="1" x14ac:dyDescent="0.25">
      <c r="B31" s="202" t="s">
        <v>48</v>
      </c>
      <c r="C31" s="151" t="str">
        <f>'6. GGbudgets'!E22</f>
        <v>Savivaldybių biudžetų atitiktis fiskalinės drausmės taisyklėms bus vertinama 2022 m. birželio mėn.</v>
      </c>
      <c r="D31" s="164" t="str">
        <f>'6. GGbudgets'!F22</f>
        <v>Savivaldybių biudžetų atitiktis fiskalinės drausmės taisyklėms bus vertinama 2022 m. birželio mėn.</v>
      </c>
    </row>
    <row r="32" spans="2:4" ht="48.75" customHeight="1" thickBot="1" x14ac:dyDescent="0.3">
      <c r="B32" s="201" t="s">
        <v>49</v>
      </c>
      <c r="C32" s="203" t="str">
        <f>'6. GGbudgets'!E23</f>
        <v>Will be assessed in June 2022</v>
      </c>
      <c r="D32" s="204" t="str">
        <f>'6. GGbudgets'!F23</f>
        <v>Will be assessed in June 2022</v>
      </c>
    </row>
    <row r="33" spans="2:5" ht="14.4" thickTop="1" x14ac:dyDescent="0.25">
      <c r="B33" s="83"/>
      <c r="C33" s="83"/>
      <c r="D33" s="83"/>
    </row>
    <row r="34" spans="2:5" ht="15" thickBot="1" x14ac:dyDescent="0.35">
      <c r="B34" s="10" t="s">
        <v>50</v>
      </c>
      <c r="C34" s="10"/>
      <c r="D34" s="10"/>
      <c r="E34" s="134" t="s">
        <v>51</v>
      </c>
    </row>
    <row r="35" spans="2:5" ht="15" thickBot="1" x14ac:dyDescent="0.35">
      <c r="B35" s="11" t="s">
        <v>52</v>
      </c>
      <c r="C35" s="314" t="s">
        <v>23</v>
      </c>
      <c r="D35" s="315"/>
      <c r="E35" s="134" t="s">
        <v>53</v>
      </c>
    </row>
    <row r="36" spans="2:5" ht="15" thickBot="1" x14ac:dyDescent="0.35">
      <c r="B36" s="11" t="s">
        <v>54</v>
      </c>
      <c r="C36" s="316" t="s">
        <v>24</v>
      </c>
      <c r="D36" s="317"/>
      <c r="E36" s="233" t="s">
        <v>55</v>
      </c>
    </row>
  </sheetData>
  <mergeCells count="15">
    <mergeCell ref="B24:D24"/>
    <mergeCell ref="C35:D35"/>
    <mergeCell ref="C36:D36"/>
    <mergeCell ref="B14:B15"/>
    <mergeCell ref="B16:B17"/>
    <mergeCell ref="B20:B21"/>
    <mergeCell ref="B18:B19"/>
    <mergeCell ref="C11:D11"/>
    <mergeCell ref="B13:D13"/>
    <mergeCell ref="B7:B8"/>
    <mergeCell ref="B3:D3"/>
    <mergeCell ref="B6:D6"/>
    <mergeCell ref="C4:D4"/>
    <mergeCell ref="B9:B10"/>
    <mergeCell ref="C12:D12"/>
  </mergeCells>
  <hyperlinks>
    <hyperlink ref="B1" location="Content!A1" display="↖ atgal į turinį" xr:uid="{16A60619-3E68-4079-A181-2B68AB29D2D4}"/>
  </hyperlink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2A9273-8DEC-4A65-BBA5-16C15FB3E7E0}">
  <sheetPr codeName="Lapas3">
    <tabColor theme="5"/>
  </sheetPr>
  <dimension ref="A1:S62"/>
  <sheetViews>
    <sheetView showGridLines="0" showRowColHeaders="0" zoomScaleNormal="100" workbookViewId="0">
      <pane ySplit="5" topLeftCell="A6" activePane="bottomLeft" state="frozen"/>
      <selection pane="bottomLeft" activeCell="B1" sqref="B1"/>
    </sheetView>
  </sheetViews>
  <sheetFormatPr defaultColWidth="10" defaultRowHeight="13.8" x14ac:dyDescent="0.25"/>
  <cols>
    <col min="1" max="1" width="4.5546875" style="1" customWidth="1"/>
    <col min="2" max="2" width="49.109375" style="1" customWidth="1"/>
    <col min="3" max="3" width="40.88671875" style="1" customWidth="1"/>
    <col min="4" max="4" width="21.109375" style="1" customWidth="1"/>
    <col min="5" max="8" width="11.44140625" style="1" customWidth="1"/>
    <col min="9" max="9" width="11.6640625" style="1" customWidth="1"/>
    <col min="10" max="12" width="11.44140625" style="1" customWidth="1"/>
    <col min="13" max="13" width="11.6640625" style="221" customWidth="1"/>
    <col min="14" max="16" width="11.44140625" style="221" customWidth="1"/>
    <col min="17" max="16384" width="10" style="1"/>
  </cols>
  <sheetData>
    <row r="1" spans="1:19" x14ac:dyDescent="0.25">
      <c r="B1" s="222" t="s">
        <v>19</v>
      </c>
      <c r="C1" s="3"/>
      <c r="D1" s="3"/>
    </row>
    <row r="2" spans="1:19" ht="14.4" thickBot="1" x14ac:dyDescent="0.3">
      <c r="A2" s="12" t="s">
        <v>20</v>
      </c>
      <c r="B2" s="13"/>
      <c r="C2" s="13"/>
      <c r="M2" s="228"/>
      <c r="N2" s="228"/>
      <c r="O2" s="228"/>
      <c r="P2" s="228"/>
    </row>
    <row r="3" spans="1:19" ht="40.200000000000003" customHeight="1" thickBot="1" x14ac:dyDescent="0.3">
      <c r="B3" s="339" t="s">
        <v>56</v>
      </c>
      <c r="C3" s="340"/>
      <c r="D3" s="340"/>
      <c r="E3" s="340"/>
      <c r="F3" s="340"/>
      <c r="G3" s="340"/>
      <c r="H3" s="340"/>
      <c r="I3" s="340"/>
      <c r="J3" s="340"/>
      <c r="K3" s="340"/>
      <c r="L3" s="340"/>
      <c r="M3" s="340"/>
      <c r="N3" s="340"/>
      <c r="O3" s="340"/>
      <c r="P3" s="341"/>
    </row>
    <row r="4" spans="1:19" ht="22.95" customHeight="1" thickBot="1" x14ac:dyDescent="0.3">
      <c r="B4" s="330" t="s">
        <v>57</v>
      </c>
      <c r="C4" s="330" t="s">
        <v>58</v>
      </c>
      <c r="D4" s="337" t="s">
        <v>59</v>
      </c>
      <c r="E4" s="327"/>
      <c r="F4" s="327"/>
      <c r="G4" s="327"/>
      <c r="H4" s="327"/>
      <c r="I4" s="327"/>
      <c r="J4" s="327"/>
      <c r="K4" s="327"/>
      <c r="L4" s="328"/>
      <c r="M4" s="326" t="s">
        <v>324</v>
      </c>
      <c r="N4" s="327"/>
      <c r="O4" s="327"/>
      <c r="P4" s="328"/>
    </row>
    <row r="5" spans="1:19" ht="20.25" customHeight="1" thickBot="1" x14ac:dyDescent="0.3">
      <c r="B5" s="330"/>
      <c r="C5" s="330"/>
      <c r="D5" s="337"/>
      <c r="E5" s="14">
        <v>2014</v>
      </c>
      <c r="F5" s="14">
        <f>E5+1</f>
        <v>2015</v>
      </c>
      <c r="G5" s="14">
        <f t="shared" ref="G5:L5" si="0">F5+1</f>
        <v>2016</v>
      </c>
      <c r="H5" s="14">
        <f t="shared" si="0"/>
        <v>2017</v>
      </c>
      <c r="I5" s="14">
        <f t="shared" si="0"/>
        <v>2018</v>
      </c>
      <c r="J5" s="14">
        <f t="shared" si="0"/>
        <v>2019</v>
      </c>
      <c r="K5" s="14">
        <f t="shared" si="0"/>
        <v>2020</v>
      </c>
      <c r="L5" s="14">
        <f t="shared" si="0"/>
        <v>2021</v>
      </c>
      <c r="M5" s="14" t="str">
        <f>CONCATENATE(L5+1,"N")</f>
        <v>2022N</v>
      </c>
      <c r="N5" s="14" t="str">
        <f>CONCATENATE(L5+2,"P")</f>
        <v>2023P</v>
      </c>
      <c r="O5" s="14" t="str">
        <f>CONCATENATE(L5+3,"P")</f>
        <v>2024P</v>
      </c>
      <c r="P5" s="14" t="str">
        <f>CONCATENATE(L5+4,"P")</f>
        <v>2025P</v>
      </c>
    </row>
    <row r="6" spans="1:19" ht="14.4" thickBot="1" x14ac:dyDescent="0.3">
      <c r="B6" s="107" t="s">
        <v>60</v>
      </c>
      <c r="C6" s="107" t="s">
        <v>61</v>
      </c>
      <c r="D6" s="159"/>
      <c r="E6" s="15" t="s">
        <v>281</v>
      </c>
      <c r="F6" s="15" t="s">
        <v>282</v>
      </c>
      <c r="G6" s="15" t="s">
        <v>283</v>
      </c>
      <c r="H6" s="15" t="s">
        <v>284</v>
      </c>
      <c r="I6" s="15" t="s">
        <v>285</v>
      </c>
      <c r="J6" s="15" t="s">
        <v>286</v>
      </c>
      <c r="K6" s="15" t="s">
        <v>62</v>
      </c>
      <c r="L6" s="15" t="s">
        <v>63</v>
      </c>
      <c r="M6" s="15" t="s">
        <v>64</v>
      </c>
      <c r="N6" s="15" t="s">
        <v>65</v>
      </c>
      <c r="O6" s="15" t="s">
        <v>66</v>
      </c>
      <c r="P6" s="15" t="s">
        <v>67</v>
      </c>
    </row>
    <row r="7" spans="1:19" ht="14.4" thickBot="1" x14ac:dyDescent="0.3">
      <c r="B7" s="331" t="s">
        <v>68</v>
      </c>
      <c r="C7" s="338" t="s">
        <v>69</v>
      </c>
      <c r="D7" s="16">
        <v>44665</v>
      </c>
      <c r="E7" s="17">
        <v>36581.300000000003</v>
      </c>
      <c r="F7" s="17">
        <v>37345.699999999997</v>
      </c>
      <c r="G7" s="17">
        <v>38889.9</v>
      </c>
      <c r="H7" s="17">
        <v>42276.3</v>
      </c>
      <c r="I7" s="17">
        <v>45514.8</v>
      </c>
      <c r="J7" s="17">
        <v>48859.9</v>
      </c>
      <c r="K7" s="17">
        <v>49507.199999999997</v>
      </c>
      <c r="L7" s="17">
        <v>55383.1</v>
      </c>
      <c r="M7" s="21">
        <f>L7*(1+M9/100)</f>
        <v>60286.175321701536</v>
      </c>
      <c r="N7" s="21">
        <f t="shared" ref="N7:O7" si="1">M7*(1+N9/100)</f>
        <v>63648.528999527553</v>
      </c>
      <c r="O7" s="21">
        <f t="shared" si="1"/>
        <v>66838.522348941697</v>
      </c>
      <c r="P7" s="21">
        <f>O7*(1+P9/100)</f>
        <v>70196.395369357575</v>
      </c>
    </row>
    <row r="8" spans="1:19" ht="14.4" thickBot="1" x14ac:dyDescent="0.3">
      <c r="B8" s="332"/>
      <c r="C8" s="338"/>
      <c r="D8" s="16">
        <v>44651</v>
      </c>
      <c r="E8" s="17">
        <v>36581.311000000002</v>
      </c>
      <c r="F8" s="17">
        <v>37345.697999999997</v>
      </c>
      <c r="G8" s="17">
        <v>38889.862000000001</v>
      </c>
      <c r="H8" s="17">
        <v>42276.296999999999</v>
      </c>
      <c r="I8" s="17">
        <v>45514.803</v>
      </c>
      <c r="J8" s="17">
        <v>48859.87</v>
      </c>
      <c r="K8" s="17">
        <v>49507.222999999998</v>
      </c>
      <c r="L8" s="17">
        <v>55325.584999999999</v>
      </c>
      <c r="M8" s="22">
        <v>60223.56832429699</v>
      </c>
      <c r="N8" s="22">
        <v>63582.430208741564</v>
      </c>
      <c r="O8" s="22">
        <v>66769.110760415904</v>
      </c>
      <c r="P8" s="22">
        <v>70123.496640598518</v>
      </c>
    </row>
    <row r="9" spans="1:19" ht="14.4" thickBot="1" x14ac:dyDescent="0.3">
      <c r="B9" s="331" t="s">
        <v>70</v>
      </c>
      <c r="C9" s="329" t="s">
        <v>71</v>
      </c>
      <c r="D9" s="16">
        <f>$D$7</f>
        <v>44665</v>
      </c>
      <c r="E9" s="18"/>
      <c r="F9" s="18">
        <f t="shared" ref="F9:K9" si="2">(F7/E7-1)*100</f>
        <v>2.0895922233490793</v>
      </c>
      <c r="G9" s="18">
        <f t="shared" si="2"/>
        <v>4.1348803208937079</v>
      </c>
      <c r="H9" s="18">
        <f t="shared" si="2"/>
        <v>8.7076593151435233</v>
      </c>
      <c r="I9" s="18">
        <f t="shared" si="2"/>
        <v>7.6603203213147841</v>
      </c>
      <c r="J9" s="18">
        <f t="shared" si="2"/>
        <v>7.3494775325828154</v>
      </c>
      <c r="K9" s="18">
        <f t="shared" si="2"/>
        <v>1.324808278363232</v>
      </c>
      <c r="L9" s="18">
        <f>(L7/K7-1)*100</f>
        <v>11.868778682696668</v>
      </c>
      <c r="M9" s="22">
        <v>8.8530171147904895</v>
      </c>
      <c r="N9" s="22">
        <v>5.5773212679087578</v>
      </c>
      <c r="O9" s="22">
        <v>5.0118885692359356</v>
      </c>
      <c r="P9" s="22">
        <v>5.0238588502683257</v>
      </c>
    </row>
    <row r="10" spans="1:19" ht="14.4" thickBot="1" x14ac:dyDescent="0.3">
      <c r="B10" s="332"/>
      <c r="C10" s="329"/>
      <c r="D10" s="16">
        <f>$D$8</f>
        <v>44651</v>
      </c>
      <c r="E10" s="18"/>
      <c r="F10" s="18">
        <f t="shared" ref="F10:K10" si="3">(F8/E8-1)*100</f>
        <v>2.0895560577366856</v>
      </c>
      <c r="G10" s="18">
        <f t="shared" si="3"/>
        <v>4.1347841456866208</v>
      </c>
      <c r="H10" s="18">
        <f t="shared" si="3"/>
        <v>8.7077578213057052</v>
      </c>
      <c r="I10" s="18">
        <f t="shared" si="3"/>
        <v>7.6603350572544304</v>
      </c>
      <c r="J10" s="18">
        <f t="shared" si="3"/>
        <v>7.3494045442754175</v>
      </c>
      <c r="K10" s="18">
        <f t="shared" si="3"/>
        <v>1.3249175652739087</v>
      </c>
      <c r="L10" s="18">
        <f>(L8/K8-1)*100</f>
        <v>11.752551743813221</v>
      </c>
      <c r="M10" s="22">
        <f>(M8/L8-1)*100</f>
        <v>8.8530167811094795</v>
      </c>
      <c r="N10" s="22">
        <f t="shared" ref="N10:P10" si="4">(N8/M8-1)*100</f>
        <v>5.5773212679087525</v>
      </c>
      <c r="O10" s="22">
        <f t="shared" si="4"/>
        <v>5.0118885692359338</v>
      </c>
      <c r="P10" s="22">
        <f t="shared" si="4"/>
        <v>5.0238588502683257</v>
      </c>
    </row>
    <row r="11" spans="1:19" ht="14.4" thickBot="1" x14ac:dyDescent="0.3">
      <c r="B11" s="331" t="s">
        <v>72</v>
      </c>
      <c r="C11" s="329" t="s">
        <v>73</v>
      </c>
      <c r="D11" s="16">
        <f>$D$7</f>
        <v>44665</v>
      </c>
      <c r="E11" s="17">
        <v>36604.6</v>
      </c>
      <c r="F11" s="17">
        <v>37345.699999999997</v>
      </c>
      <c r="G11" s="17">
        <v>38286.400000000001</v>
      </c>
      <c r="H11" s="17">
        <v>39926</v>
      </c>
      <c r="I11" s="17">
        <v>41520.400000000001</v>
      </c>
      <c r="J11" s="17">
        <v>43419.4</v>
      </c>
      <c r="K11" s="17">
        <v>43361.9</v>
      </c>
      <c r="L11" s="17">
        <v>45531.6</v>
      </c>
      <c r="M11" s="21">
        <f>L11*(1+M13/100)</f>
        <v>46271.489894492377</v>
      </c>
      <c r="N11" s="21">
        <f t="shared" ref="N11:P11" si="5">M11*(1+N13/100)</f>
        <v>47429.094109068123</v>
      </c>
      <c r="O11" s="21">
        <f t="shared" si="5"/>
        <v>48833.049751668579</v>
      </c>
      <c r="P11" s="21">
        <f t="shared" si="5"/>
        <v>50286.440413045137</v>
      </c>
    </row>
    <row r="12" spans="1:19" ht="14.4" thickBot="1" x14ac:dyDescent="0.3">
      <c r="B12" s="332"/>
      <c r="C12" s="329"/>
      <c r="D12" s="16">
        <f>D10</f>
        <v>44651</v>
      </c>
      <c r="E12" s="17">
        <v>36604.607000000004</v>
      </c>
      <c r="F12" s="17">
        <v>37345.699000000001</v>
      </c>
      <c r="G12" s="17">
        <v>38286.372000000003</v>
      </c>
      <c r="H12" s="17">
        <v>39926.023999999998</v>
      </c>
      <c r="I12" s="17">
        <v>41520.392</v>
      </c>
      <c r="J12" s="17">
        <v>43419.440999999999</v>
      </c>
      <c r="K12" s="17">
        <v>43361.94</v>
      </c>
      <c r="L12" s="17">
        <v>45504.705000000002</v>
      </c>
      <c r="M12" s="22">
        <v>46244.157708781917</v>
      </c>
      <c r="N12" s="22">
        <v>47401.078136139135</v>
      </c>
      <c r="O12" s="22">
        <v>48804.204473773614</v>
      </c>
      <c r="P12" s="22">
        <v>50256.736629328188</v>
      </c>
    </row>
    <row r="13" spans="1:19" ht="14.4" thickBot="1" x14ac:dyDescent="0.3">
      <c r="B13" s="331" t="s">
        <v>74</v>
      </c>
      <c r="C13" s="329" t="s">
        <v>75</v>
      </c>
      <c r="D13" s="16">
        <f>$D$7</f>
        <v>44665</v>
      </c>
      <c r="E13" s="18"/>
      <c r="F13" s="18">
        <f t="shared" ref="F13:K13" si="6">(F11/E11-1)*100</f>
        <v>2.0246089289324143</v>
      </c>
      <c r="G13" s="18">
        <f t="shared" si="6"/>
        <v>2.5188977579748251</v>
      </c>
      <c r="H13" s="18">
        <f t="shared" si="6"/>
        <v>4.2824606126457443</v>
      </c>
      <c r="I13" s="18">
        <f t="shared" si="6"/>
        <v>3.9933877673696383</v>
      </c>
      <c r="J13" s="18">
        <f t="shared" si="6"/>
        <v>4.5736553597749641</v>
      </c>
      <c r="K13" s="18">
        <f t="shared" si="6"/>
        <v>-0.13242928276300248</v>
      </c>
      <c r="L13" s="18">
        <f>(L11/K11-1)*100</f>
        <v>5.0037014060730689</v>
      </c>
      <c r="M13" s="22">
        <v>1.6250030626913501</v>
      </c>
      <c r="N13" s="22">
        <v>2.5017655952192115</v>
      </c>
      <c r="O13" s="22">
        <v>2.9601148176516148</v>
      </c>
      <c r="P13" s="22">
        <v>2.9762438937717519</v>
      </c>
    </row>
    <row r="14" spans="1:19" ht="14.4" thickBot="1" x14ac:dyDescent="0.3">
      <c r="B14" s="332"/>
      <c r="C14" s="329"/>
      <c r="D14" s="16">
        <f>$D$8</f>
        <v>44651</v>
      </c>
      <c r="E14" s="18"/>
      <c r="F14" s="18">
        <f t="shared" ref="F14:I14" si="7">(F12/E12-1)*100</f>
        <v>2.024586686588381</v>
      </c>
      <c r="G14" s="18">
        <f t="shared" si="7"/>
        <v>2.5188255279409821</v>
      </c>
      <c r="H14" s="18">
        <f t="shared" si="7"/>
        <v>4.2825995631030178</v>
      </c>
      <c r="I14" s="18">
        <f t="shared" si="7"/>
        <v>3.9933052186714058</v>
      </c>
      <c r="J14" s="20">
        <f>(J12/I12-1)*100</f>
        <v>4.5737742553104921</v>
      </c>
      <c r="K14" s="20">
        <f>(K12-J12)/J12*100</f>
        <v>-0.13243146082879456</v>
      </c>
      <c r="L14" s="20">
        <f>(L12-K12)/K12*100</f>
        <v>4.9415801045801899</v>
      </c>
      <c r="M14" s="22">
        <f>(M12/L12-1)*100</f>
        <v>1.625002752532767</v>
      </c>
      <c r="N14" s="22">
        <f t="shared" ref="N14:P14" si="8">(N12/M12-1)*100</f>
        <v>2.5017655952192186</v>
      </c>
      <c r="O14" s="22">
        <f t="shared" si="8"/>
        <v>2.9601148176516157</v>
      </c>
      <c r="P14" s="22">
        <f t="shared" si="8"/>
        <v>2.9762438937717572</v>
      </c>
    </row>
    <row r="15" spans="1:19" ht="14.4" thickBot="1" x14ac:dyDescent="0.3">
      <c r="B15" s="331" t="s">
        <v>76</v>
      </c>
      <c r="C15" s="329" t="s">
        <v>77</v>
      </c>
      <c r="D15" s="16">
        <v>44665</v>
      </c>
      <c r="E15" s="21">
        <v>36625.12273542396</v>
      </c>
      <c r="F15" s="21">
        <v>37458.735888731324</v>
      </c>
      <c r="G15" s="21">
        <v>38361.106064545893</v>
      </c>
      <c r="H15" s="21">
        <v>39376.458443892392</v>
      </c>
      <c r="I15" s="21">
        <v>40555.702270625821</v>
      </c>
      <c r="J15" s="21">
        <v>41856.640623527819</v>
      </c>
      <c r="K15" s="21">
        <v>43134.844262230778</v>
      </c>
      <c r="L15" s="21">
        <v>44558.179467741342</v>
      </c>
      <c r="M15" s="21">
        <v>45970.602629485365</v>
      </c>
      <c r="N15" s="21">
        <v>47423.70232695061</v>
      </c>
      <c r="O15" s="21">
        <v>48902.820789561672</v>
      </c>
      <c r="P15" s="21">
        <v>50393.93699485073</v>
      </c>
    </row>
    <row r="16" spans="1:19" ht="14.4" thickBot="1" x14ac:dyDescent="0.3">
      <c r="B16" s="332"/>
      <c r="C16" s="329"/>
      <c r="D16" s="16">
        <v>44665</v>
      </c>
      <c r="E16" s="22">
        <v>36457.393551098896</v>
      </c>
      <c r="F16" s="22">
        <v>37220.744070961722</v>
      </c>
      <c r="G16" s="22">
        <v>37942.556374723157</v>
      </c>
      <c r="H16" s="22">
        <v>38882.423774276242</v>
      </c>
      <c r="I16" s="22">
        <v>40163.536191435131</v>
      </c>
      <c r="J16" s="22">
        <v>41892.766283226993</v>
      </c>
      <c r="K16" s="22">
        <v>43586.070984071659</v>
      </c>
      <c r="L16" s="22">
        <v>45306.617722829833</v>
      </c>
      <c r="M16" s="22">
        <v>46593.141406218238</v>
      </c>
      <c r="N16" s="22">
        <v>47883.241331631594</v>
      </c>
      <c r="O16" s="22">
        <v>49107.70936005636</v>
      </c>
      <c r="P16" s="22">
        <v>50261.212100288467</v>
      </c>
      <c r="Q16" s="230"/>
      <c r="R16" s="230"/>
      <c r="S16" s="230"/>
    </row>
    <row r="17" spans="2:16" ht="14.4" thickBot="1" x14ac:dyDescent="0.3">
      <c r="B17" s="331" t="s">
        <v>78</v>
      </c>
      <c r="C17" s="329" t="s">
        <v>79</v>
      </c>
      <c r="D17" s="16">
        <f>D15</f>
        <v>44665</v>
      </c>
      <c r="E17" s="21"/>
      <c r="F17" s="21">
        <f>(F15/E15-1)*100</f>
        <v>2.2760692416768036</v>
      </c>
      <c r="G17" s="21">
        <f t="shared" ref="F17:J18" si="9">(G15/F15-1)*100</f>
        <v>2.4089712437040056</v>
      </c>
      <c r="H17" s="21">
        <f>(H15/G15-1)*100</f>
        <v>2.6468276947960723</v>
      </c>
      <c r="I17" s="21">
        <f t="shared" si="9"/>
        <v>2.9947940300769638</v>
      </c>
      <c r="J17" s="21">
        <f t="shared" si="9"/>
        <v>3.2077815943635013</v>
      </c>
      <c r="K17" s="21">
        <f>(K15/J15-1)*100</f>
        <v>3.0537654710504292</v>
      </c>
      <c r="L17" s="21">
        <f>(L15/K15-1)*100</f>
        <v>3.2997341936779501</v>
      </c>
      <c r="M17" s="21">
        <f>(M15/L15-1)*100</f>
        <v>3.1698403718818158</v>
      </c>
      <c r="N17" s="21">
        <f t="shared" ref="N17:P17" si="10">(N15/M15-1)*100</f>
        <v>3.160932453239651</v>
      </c>
      <c r="O17" s="21">
        <f t="shared" si="10"/>
        <v>3.1189434608324351</v>
      </c>
      <c r="P17" s="21">
        <f t="shared" si="10"/>
        <v>3.0491415039341385</v>
      </c>
    </row>
    <row r="18" spans="2:16" ht="14.4" thickBot="1" x14ac:dyDescent="0.3">
      <c r="B18" s="332"/>
      <c r="C18" s="329"/>
      <c r="D18" s="16">
        <f>$D$16</f>
        <v>44665</v>
      </c>
      <c r="E18" s="22"/>
      <c r="F18" s="22">
        <f t="shared" si="9"/>
        <v>2.0938153979463969</v>
      </c>
      <c r="G18" s="22">
        <f t="shared" si="9"/>
        <v>1.9392742455263567</v>
      </c>
      <c r="H18" s="22">
        <f>(H16/G16-1)*100</f>
        <v>2.4770797999768224</v>
      </c>
      <c r="I18" s="22">
        <f t="shared" si="9"/>
        <v>3.2948368254924532</v>
      </c>
      <c r="J18" s="22">
        <f t="shared" si="9"/>
        <v>4.3054727142293414</v>
      </c>
      <c r="K18" s="22">
        <f>(K16/J16-1)*100</f>
        <v>4.0419978222412833</v>
      </c>
      <c r="L18" s="22">
        <f>(L16/K16-1)*100</f>
        <v>3.9474692256316057</v>
      </c>
      <c r="M18" s="22">
        <f t="shared" ref="M18:P18" si="11">(M16/L16-1)*100</f>
        <v>2.8395933045783917</v>
      </c>
      <c r="N18" s="22">
        <f t="shared" si="11"/>
        <v>2.7688622970615695</v>
      </c>
      <c r="O18" s="22">
        <f t="shared" si="11"/>
        <v>2.5571953660035174</v>
      </c>
      <c r="P18" s="22">
        <f t="shared" si="11"/>
        <v>2.3489239373285731</v>
      </c>
    </row>
    <row r="19" spans="2:16" ht="14.4" thickBot="1" x14ac:dyDescent="0.3">
      <c r="B19" s="331" t="s">
        <v>80</v>
      </c>
      <c r="C19" s="329" t="s">
        <v>81</v>
      </c>
      <c r="D19" s="16">
        <f>D15</f>
        <v>44665</v>
      </c>
      <c r="E19" s="21">
        <f>(E11/E15-1)*100</f>
        <v>-5.6034584709019342E-2</v>
      </c>
      <c r="F19" s="21">
        <f t="shared" ref="F19:K19" si="12">(F11/F15-1)*100</f>
        <v>-0.30176108736582608</v>
      </c>
      <c r="G19" s="21">
        <f t="shared" si="12"/>
        <v>-0.19474429235745161</v>
      </c>
      <c r="H19" s="21">
        <f t="shared" si="12"/>
        <v>1.3956094017206988</v>
      </c>
      <c r="I19" s="21">
        <f t="shared" si="12"/>
        <v>2.3786981247095884</v>
      </c>
      <c r="J19" s="21">
        <f>(J11/J15-1)*100</f>
        <v>3.7335996228845758</v>
      </c>
      <c r="K19" s="21">
        <f t="shared" si="12"/>
        <v>0.52638589903994948</v>
      </c>
      <c r="L19" s="21">
        <f>(L11/L15-1)*100</f>
        <v>2.1846057085060711</v>
      </c>
      <c r="M19" s="21">
        <f t="shared" ref="M19:P19" si="13">(M11/M15-1)*100</f>
        <v>0.65452103691594488</v>
      </c>
      <c r="N19" s="21">
        <f t="shared" si="13"/>
        <v>1.1369382509074377E-2</v>
      </c>
      <c r="O19" s="21">
        <f t="shared" si="13"/>
        <v>-0.14267282902418188</v>
      </c>
      <c r="P19" s="21">
        <f t="shared" si="13"/>
        <v>-0.21331252967311531</v>
      </c>
    </row>
    <row r="20" spans="2:16" ht="14.4" thickBot="1" x14ac:dyDescent="0.3">
      <c r="B20" s="332"/>
      <c r="C20" s="329"/>
      <c r="D20" s="16">
        <f>$D$16</f>
        <v>44665</v>
      </c>
      <c r="E20" s="22">
        <f t="shared" ref="E20:J20" si="14">(E$12/E16-1)*100</f>
        <v>0.40379586844234705</v>
      </c>
      <c r="F20" s="22">
        <f t="shared" si="14"/>
        <v>0.33571314103784111</v>
      </c>
      <c r="G20" s="22">
        <f t="shared" si="14"/>
        <v>0.90614776158279842</v>
      </c>
      <c r="H20" s="22">
        <f t="shared" si="14"/>
        <v>2.6839896395917995</v>
      </c>
      <c r="I20" s="22">
        <f t="shared" si="14"/>
        <v>3.3783275508848742</v>
      </c>
      <c r="J20" s="22">
        <f t="shared" si="14"/>
        <v>3.6442442269186026</v>
      </c>
      <c r="K20" s="22">
        <f>(K$12/K16-1)*100</f>
        <v>-0.51422617136920312</v>
      </c>
      <c r="L20" s="22">
        <f>(L$12/L16-1)*100</f>
        <v>0.43721488631527361</v>
      </c>
      <c r="M20" s="22">
        <f>(M$12/M16-1)*100</f>
        <v>-0.74900229283476616</v>
      </c>
      <c r="N20" s="22">
        <f t="shared" ref="N20:P20" si="15">(N$12/N16-1)*100</f>
        <v>-1.0069560499321173</v>
      </c>
      <c r="O20" s="22">
        <f t="shared" si="15"/>
        <v>-0.61803918414816694</v>
      </c>
      <c r="P20" s="22">
        <f t="shared" si="15"/>
        <v>-8.9044230595747287E-3</v>
      </c>
    </row>
    <row r="21" spans="2:16" ht="17.399999999999999" customHeight="1" thickBot="1" x14ac:dyDescent="0.3">
      <c r="B21" s="342" t="s">
        <v>82</v>
      </c>
      <c r="C21" s="329" t="s">
        <v>83</v>
      </c>
      <c r="D21" s="16">
        <f>$D$15</f>
        <v>44665</v>
      </c>
      <c r="E21" s="21">
        <f t="shared" ref="E21:P21" si="16">E19*E38</f>
        <v>0</v>
      </c>
      <c r="F21" s="21">
        <f t="shared" si="16"/>
        <v>0</v>
      </c>
      <c r="G21" s="21">
        <f t="shared" si="16"/>
        <v>0</v>
      </c>
      <c r="H21" s="21">
        <f t="shared" si="16"/>
        <v>0</v>
      </c>
      <c r="I21" s="21">
        <f t="shared" si="16"/>
        <v>0</v>
      </c>
      <c r="J21" s="21">
        <f t="shared" si="16"/>
        <v>0</v>
      </c>
      <c r="K21" s="21">
        <f t="shared" si="16"/>
        <v>0</v>
      </c>
      <c r="L21" s="21">
        <f t="shared" si="16"/>
        <v>0.87165767769392244</v>
      </c>
      <c r="M21" s="21">
        <f>M19*M38</f>
        <v>0.26115389372946202</v>
      </c>
      <c r="N21" s="21">
        <f t="shared" si="16"/>
        <v>0</v>
      </c>
      <c r="O21" s="21">
        <f t="shared" si="16"/>
        <v>0</v>
      </c>
      <c r="P21" s="21">
        <f t="shared" si="16"/>
        <v>0</v>
      </c>
    </row>
    <row r="22" spans="2:16" ht="14.4" thickBot="1" x14ac:dyDescent="0.3">
      <c r="B22" s="344"/>
      <c r="C22" s="329"/>
      <c r="D22" s="16">
        <f>$D$16</f>
        <v>44665</v>
      </c>
      <c r="E22" s="22">
        <f t="shared" ref="E22:P22" si="17">E20*E38</f>
        <v>0</v>
      </c>
      <c r="F22" s="22">
        <f t="shared" si="17"/>
        <v>0</v>
      </c>
      <c r="G22" s="22">
        <f t="shared" si="17"/>
        <v>0</v>
      </c>
      <c r="H22" s="22">
        <f t="shared" si="17"/>
        <v>0</v>
      </c>
      <c r="I22" s="22">
        <f t="shared" si="17"/>
        <v>0</v>
      </c>
      <c r="J22" s="22">
        <f t="shared" si="17"/>
        <v>0</v>
      </c>
      <c r="K22" s="22">
        <f t="shared" si="17"/>
        <v>0</v>
      </c>
      <c r="L22" s="22">
        <f t="shared" si="17"/>
        <v>0.17444873963979418</v>
      </c>
      <c r="M22" s="22">
        <f>M20*M38</f>
        <v>-0.29885191484107171</v>
      </c>
      <c r="N22" s="22">
        <f t="shared" si="17"/>
        <v>0</v>
      </c>
      <c r="O22" s="22">
        <f t="shared" si="17"/>
        <v>0</v>
      </c>
      <c r="P22" s="22">
        <f t="shared" si="17"/>
        <v>0</v>
      </c>
    </row>
    <row r="23" spans="2:16" ht="17.399999999999999" customHeight="1" thickBot="1" x14ac:dyDescent="0.3">
      <c r="B23" s="342" t="s">
        <v>84</v>
      </c>
      <c r="C23" s="329" t="s">
        <v>85</v>
      </c>
      <c r="D23" s="16">
        <f>$D$15</f>
        <v>44665</v>
      </c>
      <c r="E23" s="19"/>
      <c r="F23" s="19"/>
      <c r="G23" s="19"/>
      <c r="H23" s="19"/>
      <c r="I23" s="19"/>
      <c r="J23" s="21">
        <f t="shared" ref="J23:P23" si="18">J19*J39</f>
        <v>0</v>
      </c>
      <c r="K23" s="21">
        <f t="shared" si="18"/>
        <v>0</v>
      </c>
      <c r="L23" s="21">
        <f t="shared" si="18"/>
        <v>0.17695306238899175</v>
      </c>
      <c r="M23" s="21">
        <f t="shared" si="18"/>
        <v>6.5452103691594488E-2</v>
      </c>
      <c r="N23" s="21">
        <f t="shared" si="18"/>
        <v>0</v>
      </c>
      <c r="O23" s="21">
        <f t="shared" si="18"/>
        <v>0</v>
      </c>
      <c r="P23" s="21">
        <f t="shared" si="18"/>
        <v>0</v>
      </c>
    </row>
    <row r="24" spans="2:16" ht="14.4" thickBot="1" x14ac:dyDescent="0.3">
      <c r="B24" s="342"/>
      <c r="C24" s="329"/>
      <c r="D24" s="16">
        <f>$D$16</f>
        <v>44665</v>
      </c>
      <c r="E24" s="19"/>
      <c r="F24" s="19"/>
      <c r="G24" s="19"/>
      <c r="H24" s="19"/>
      <c r="I24" s="19"/>
      <c r="J24" s="22">
        <f t="shared" ref="J24:P24" si="19">J20*J39</f>
        <v>0</v>
      </c>
      <c r="K24" s="22">
        <f t="shared" si="19"/>
        <v>0</v>
      </c>
      <c r="L24" s="22">
        <f t="shared" si="19"/>
        <v>3.5414405791537165E-2</v>
      </c>
      <c r="M24" s="22">
        <f>M20*M39</f>
        <v>-7.4900229283476616E-2</v>
      </c>
      <c r="N24" s="22">
        <f t="shared" si="19"/>
        <v>0</v>
      </c>
      <c r="O24" s="22">
        <f t="shared" si="19"/>
        <v>0</v>
      </c>
      <c r="P24" s="22">
        <f t="shared" si="19"/>
        <v>0</v>
      </c>
    </row>
    <row r="25" spans="2:16" s="23" customFormat="1" ht="15.75" customHeight="1" thickBot="1" x14ac:dyDescent="0.3">
      <c r="B25" s="333" t="s">
        <v>86</v>
      </c>
      <c r="C25" s="335" t="s">
        <v>87</v>
      </c>
      <c r="D25" s="16">
        <f>$D$15</f>
        <v>44665</v>
      </c>
      <c r="E25" s="19"/>
      <c r="F25" s="19"/>
      <c r="G25" s="19"/>
      <c r="H25" s="19"/>
      <c r="I25" s="19"/>
      <c r="J25" s="21">
        <f t="shared" ref="J25:P25" si="20">J19*J40</f>
        <v>0</v>
      </c>
      <c r="K25" s="21">
        <f t="shared" si="20"/>
        <v>0</v>
      </c>
      <c r="L25" s="21">
        <f t="shared" si="20"/>
        <v>8.9568834048748922E-2</v>
      </c>
      <c r="M25" s="21">
        <f t="shared" si="20"/>
        <v>3.2726051845797244E-2</v>
      </c>
      <c r="N25" s="21">
        <f t="shared" si="20"/>
        <v>0</v>
      </c>
      <c r="O25" s="21">
        <f t="shared" si="20"/>
        <v>0</v>
      </c>
      <c r="P25" s="21">
        <f t="shared" si="20"/>
        <v>0</v>
      </c>
    </row>
    <row r="26" spans="2:16" s="23" customFormat="1" ht="14.4" thickBot="1" x14ac:dyDescent="0.3">
      <c r="B26" s="343"/>
      <c r="C26" s="336"/>
      <c r="D26" s="16">
        <f>$D$16</f>
        <v>44665</v>
      </c>
      <c r="E26" s="19"/>
      <c r="F26" s="19"/>
      <c r="G26" s="19"/>
      <c r="H26" s="19"/>
      <c r="I26" s="19"/>
      <c r="J26" s="22">
        <f t="shared" ref="J26:P26" si="21">J20*J40</f>
        <v>0</v>
      </c>
      <c r="K26" s="22">
        <f t="shared" si="21"/>
        <v>0</v>
      </c>
      <c r="L26" s="22">
        <f t="shared" si="21"/>
        <v>1.7925810338926217E-2</v>
      </c>
      <c r="M26" s="22">
        <f t="shared" si="21"/>
        <v>-3.7450114641738308E-2</v>
      </c>
      <c r="N26" s="22">
        <f t="shared" si="21"/>
        <v>0</v>
      </c>
      <c r="O26" s="22">
        <f t="shared" si="21"/>
        <v>0</v>
      </c>
      <c r="P26" s="22">
        <f t="shared" si="21"/>
        <v>0</v>
      </c>
    </row>
    <row r="27" spans="2:16" ht="14.4" thickBot="1" x14ac:dyDescent="0.3">
      <c r="B27" s="331" t="s">
        <v>88</v>
      </c>
      <c r="C27" s="329" t="s">
        <v>89</v>
      </c>
      <c r="D27" s="16">
        <f>$D$7</f>
        <v>44665</v>
      </c>
      <c r="E27" s="19">
        <f>E7/E11*100</f>
        <v>99.936346797943443</v>
      </c>
      <c r="F27" s="19">
        <f t="shared" ref="E27:K28" si="22">F7/F11*100</f>
        <v>100</v>
      </c>
      <c r="G27" s="19">
        <f t="shared" si="22"/>
        <v>101.57627773830917</v>
      </c>
      <c r="H27" s="19">
        <f t="shared" si="22"/>
        <v>105.88664028452639</v>
      </c>
      <c r="I27" s="19">
        <f t="shared" si="22"/>
        <v>109.62033121068198</v>
      </c>
      <c r="J27" s="19">
        <f t="shared" si="22"/>
        <v>112.53011326734132</v>
      </c>
      <c r="K27" s="19">
        <f t="shared" si="22"/>
        <v>114.17211884165593</v>
      </c>
      <c r="L27" s="19">
        <f>L7/L11*100</f>
        <v>121.63662159906528</v>
      </c>
      <c r="M27" s="19">
        <f>M7/M11*100</f>
        <v>130.28794935967105</v>
      </c>
      <c r="N27" s="19">
        <f t="shared" ref="N27:P27" si="23">N7/N11*100</f>
        <v>134.19722681854552</v>
      </c>
      <c r="O27" s="19">
        <f t="shared" si="23"/>
        <v>136.87148906086475</v>
      </c>
      <c r="P27" s="19">
        <f t="shared" si="23"/>
        <v>139.59308869901133</v>
      </c>
    </row>
    <row r="28" spans="2:16" ht="14.4" thickBot="1" x14ac:dyDescent="0.3">
      <c r="B28" s="332"/>
      <c r="C28" s="329"/>
      <c r="D28" s="16">
        <f>$D$8</f>
        <v>44651</v>
      </c>
      <c r="E28" s="19">
        <f t="shared" si="22"/>
        <v>99.936357737702238</v>
      </c>
      <c r="F28" s="19">
        <f>F8/F12*100</f>
        <v>99.999997322315465</v>
      </c>
      <c r="G28" s="19">
        <f t="shared" si="22"/>
        <v>101.57625277213521</v>
      </c>
      <c r="H28" s="19">
        <f t="shared" si="22"/>
        <v>105.88656912093226</v>
      </c>
      <c r="I28" s="19">
        <f t="shared" si="22"/>
        <v>109.62035955729898</v>
      </c>
      <c r="J28" s="19">
        <f t="shared" si="22"/>
        <v>112.52993791421682</v>
      </c>
      <c r="K28" s="19">
        <f t="shared" si="22"/>
        <v>114.1720665634425</v>
      </c>
      <c r="L28" s="19">
        <f>L8/L12*100</f>
        <v>121.58211991485275</v>
      </c>
      <c r="M28" s="19">
        <f>M8/M12*100</f>
        <v>130.22957127589837</v>
      </c>
      <c r="N28" s="19">
        <f t="shared" ref="N28:P28" si="24">N8/N12*100</f>
        <v>134.13709710595293</v>
      </c>
      <c r="O28" s="19">
        <f t="shared" si="24"/>
        <v>136.81016109236299</v>
      </c>
      <c r="P28" s="19">
        <f t="shared" si="24"/>
        <v>139.53054126414713</v>
      </c>
    </row>
    <row r="29" spans="2:16" ht="14.4" thickBot="1" x14ac:dyDescent="0.3">
      <c r="B29" s="331" t="s">
        <v>90</v>
      </c>
      <c r="C29" s="329" t="s">
        <v>91</v>
      </c>
      <c r="D29" s="16">
        <f>$D$7</f>
        <v>44665</v>
      </c>
      <c r="E29" s="19"/>
      <c r="F29" s="19">
        <f>(F27/E27-1)*100</f>
        <v>6.3693745164861149E-2</v>
      </c>
      <c r="G29" s="19">
        <f t="shared" ref="G29:K30" si="25">(G27/F27-1)*100</f>
        <v>1.5762777383091731</v>
      </c>
      <c r="H29" s="19">
        <f t="shared" si="25"/>
        <v>4.2434736162728859</v>
      </c>
      <c r="I29" s="19">
        <f t="shared" si="25"/>
        <v>3.5261208742886296</v>
      </c>
      <c r="J29" s="19">
        <f t="shared" si="25"/>
        <v>2.6544182311098563</v>
      </c>
      <c r="K29" s="19">
        <f t="shared" si="25"/>
        <v>1.459169929398052</v>
      </c>
      <c r="L29" s="19">
        <f>(L27/K27-1)*100</f>
        <v>6.5379383628342724</v>
      </c>
      <c r="M29" s="19">
        <f t="shared" ref="M29:P29" si="26">(M27/L27-1)*100</f>
        <v>7.1124367372862318</v>
      </c>
      <c r="N29" s="19">
        <f t="shared" si="26"/>
        <v>3.0004904352915807</v>
      </c>
      <c r="O29" s="19">
        <f t="shared" si="26"/>
        <v>1.9927850267243086</v>
      </c>
      <c r="P29" s="19">
        <f t="shared" si="26"/>
        <v>1.988434302001596</v>
      </c>
    </row>
    <row r="30" spans="2:16" ht="14.4" thickBot="1" x14ac:dyDescent="0.3">
      <c r="B30" s="332"/>
      <c r="C30" s="329"/>
      <c r="D30" s="16">
        <f>$D$8</f>
        <v>44651</v>
      </c>
      <c r="E30" s="19"/>
      <c r="F30" s="19">
        <f t="shared" ref="F30:I30" si="27">(F28/E28-1)*100</f>
        <v>6.3680112077180162E-2</v>
      </c>
      <c r="G30" s="19">
        <f t="shared" si="27"/>
        <v>1.5762554920268901</v>
      </c>
      <c r="H30" s="19">
        <f t="shared" si="27"/>
        <v>4.243429178733682</v>
      </c>
      <c r="I30" s="19">
        <f t="shared" si="27"/>
        <v>3.5262172222261468</v>
      </c>
      <c r="J30" s="19">
        <f t="shared" si="25"/>
        <v>2.6542317217970623</v>
      </c>
      <c r="K30" s="19">
        <f>(K28/J28-1)*100</f>
        <v>1.4592815740087861</v>
      </c>
      <c r="L30" s="19">
        <f>(L28/K28-1)*100</f>
        <v>6.4902507018147704</v>
      </c>
      <c r="M30" s="19">
        <f t="shared" ref="M30:P30" si="28">(M28/L28-1)*100</f>
        <v>7.1124367358470497</v>
      </c>
      <c r="N30" s="19">
        <f t="shared" si="28"/>
        <v>3.0004904352915807</v>
      </c>
      <c r="O30" s="19">
        <f t="shared" si="28"/>
        <v>1.9927850267242864</v>
      </c>
      <c r="P30" s="19">
        <f t="shared" si="28"/>
        <v>1.9884343020015738</v>
      </c>
    </row>
    <row r="31" spans="2:16" ht="28.8" thickBot="1" x14ac:dyDescent="0.3">
      <c r="B31" s="267" t="s">
        <v>297</v>
      </c>
      <c r="C31" s="268" t="s">
        <v>298</v>
      </c>
      <c r="D31" s="16">
        <f>$D$8</f>
        <v>44651</v>
      </c>
      <c r="E31" s="17">
        <v>0.2</v>
      </c>
      <c r="F31" s="17">
        <v>-0.7</v>
      </c>
      <c r="G31" s="17">
        <v>0.7</v>
      </c>
      <c r="H31" s="17">
        <v>3.7</v>
      </c>
      <c r="I31" s="17">
        <v>2.5</v>
      </c>
      <c r="J31" s="17">
        <v>2.2000000000000002</v>
      </c>
      <c r="K31" s="17">
        <v>1.1000000000000001</v>
      </c>
      <c r="L31" s="17">
        <v>4.5999999999999996</v>
      </c>
      <c r="M31" s="22">
        <v>9.8000000000000007</v>
      </c>
      <c r="N31" s="22">
        <v>3</v>
      </c>
      <c r="O31" s="22">
        <v>2</v>
      </c>
      <c r="P31" s="22">
        <v>2</v>
      </c>
    </row>
    <row r="32" spans="2:16" ht="28.8" thickBot="1" x14ac:dyDescent="0.3">
      <c r="B32" s="208" t="s">
        <v>92</v>
      </c>
      <c r="C32" s="209" t="s">
        <v>93</v>
      </c>
      <c r="D32" s="16">
        <v>44678</v>
      </c>
      <c r="E32" s="17">
        <v>11783.874300000001</v>
      </c>
      <c r="F32" s="17">
        <v>12214.623900000001</v>
      </c>
      <c r="G32" s="17">
        <v>12552.5</v>
      </c>
      <c r="H32" s="17">
        <v>13076.045699999999</v>
      </c>
      <c r="I32" s="17">
        <v>13531.5393</v>
      </c>
      <c r="J32" s="17">
        <v>14017.168800000001</v>
      </c>
      <c r="K32" s="17">
        <v>13403.1494</v>
      </c>
      <c r="L32" s="17">
        <v>14448.3416</v>
      </c>
      <c r="M32" s="229"/>
      <c r="N32" s="229"/>
      <c r="O32" s="229"/>
      <c r="P32" s="229"/>
    </row>
    <row r="33" spans="2:16" ht="29.25" customHeight="1" thickBot="1" x14ac:dyDescent="0.3">
      <c r="B33" s="208" t="s">
        <v>94</v>
      </c>
      <c r="C33" s="209" t="s">
        <v>95</v>
      </c>
      <c r="D33" s="16">
        <f>$D$32</f>
        <v>44678</v>
      </c>
      <c r="E33" s="18"/>
      <c r="F33" s="18">
        <f>(F32/E32-1)*100</f>
        <v>3.6554157744197902</v>
      </c>
      <c r="G33" s="18">
        <f t="shared" ref="G33:I33" si="29">(G32/F32-1)*100</f>
        <v>2.7661604873482792</v>
      </c>
      <c r="H33" s="18">
        <f t="shared" si="29"/>
        <v>4.1708480382393942</v>
      </c>
      <c r="I33" s="18">
        <f t="shared" si="29"/>
        <v>3.4834200678879768</v>
      </c>
      <c r="J33" s="18">
        <f>(J32/I32-1)*100</f>
        <v>3.5888710754437225</v>
      </c>
      <c r="K33" s="18">
        <f>(K32/J32-1)*100</f>
        <v>-4.3804808856978354</v>
      </c>
      <c r="L33" s="18">
        <f>(L32/K32-1)*100</f>
        <v>7.7981090026497668</v>
      </c>
      <c r="M33" s="229"/>
      <c r="N33" s="229"/>
      <c r="O33" s="229"/>
      <c r="P33" s="229"/>
    </row>
    <row r="34" spans="2:16" s="25" customFormat="1" ht="14.4" thickBot="1" x14ac:dyDescent="0.3">
      <c r="B34" s="333" t="s">
        <v>96</v>
      </c>
      <c r="C34" s="335" t="s">
        <v>97</v>
      </c>
      <c r="D34" s="16">
        <v>44678</v>
      </c>
      <c r="E34" s="17">
        <v>-220</v>
      </c>
      <c r="F34" s="17">
        <v>-111.8</v>
      </c>
      <c r="G34" s="17">
        <v>97.8</v>
      </c>
      <c r="H34" s="17">
        <v>176.4</v>
      </c>
      <c r="I34" s="17">
        <v>244.5</v>
      </c>
      <c r="J34" s="17">
        <v>231.4</v>
      </c>
      <c r="K34" s="17">
        <v>-3604.9</v>
      </c>
      <c r="L34" s="17">
        <v>-554.6</v>
      </c>
      <c r="M34" s="229"/>
      <c r="N34" s="229"/>
      <c r="O34" s="229"/>
      <c r="P34" s="229"/>
    </row>
    <row r="35" spans="2:16" s="25" customFormat="1" ht="14.4" thickBot="1" x14ac:dyDescent="0.3">
      <c r="B35" s="334"/>
      <c r="C35" s="336"/>
      <c r="D35" s="16">
        <v>44678</v>
      </c>
      <c r="E35" s="17">
        <v>-220</v>
      </c>
      <c r="F35" s="17">
        <v>-111.8</v>
      </c>
      <c r="G35" s="17">
        <v>97.8</v>
      </c>
      <c r="H35" s="17">
        <v>176.4</v>
      </c>
      <c r="I35" s="17">
        <v>244.5</v>
      </c>
      <c r="J35" s="17">
        <v>231.4</v>
      </c>
      <c r="K35" s="17">
        <v>-3604.9</v>
      </c>
      <c r="L35" s="17">
        <v>-554.6</v>
      </c>
      <c r="M35" s="229"/>
      <c r="N35" s="229"/>
      <c r="O35" s="229"/>
      <c r="P35" s="229"/>
    </row>
    <row r="36" spans="2:16" ht="14.4" thickBot="1" x14ac:dyDescent="0.3">
      <c r="B36" s="331" t="s">
        <v>98</v>
      </c>
      <c r="C36" s="329" t="s">
        <v>99</v>
      </c>
      <c r="D36" s="16">
        <f>+D34</f>
        <v>44678</v>
      </c>
      <c r="E36" s="19">
        <f t="shared" ref="E36:L37" si="30">E34/E7*100</f>
        <v>-0.60140016893877468</v>
      </c>
      <c r="F36" s="19">
        <f t="shared" si="30"/>
        <v>-0.29936512101794854</v>
      </c>
      <c r="G36" s="19">
        <f t="shared" si="30"/>
        <v>0.25147917582714274</v>
      </c>
      <c r="H36" s="19">
        <f t="shared" si="30"/>
        <v>0.41725505779834093</v>
      </c>
      <c r="I36" s="19">
        <f t="shared" si="30"/>
        <v>0.5371879037148356</v>
      </c>
      <c r="J36" s="19">
        <f t="shared" si="30"/>
        <v>0.4735990045006232</v>
      </c>
      <c r="K36" s="19">
        <f t="shared" si="30"/>
        <v>-7.2815671255898131</v>
      </c>
      <c r="L36" s="19">
        <f t="shared" si="30"/>
        <v>-1.0013885102134044</v>
      </c>
      <c r="M36" s="229"/>
      <c r="N36" s="229"/>
      <c r="O36" s="229"/>
      <c r="P36" s="229"/>
    </row>
    <row r="37" spans="2:16" ht="14.4" thickBot="1" x14ac:dyDescent="0.3">
      <c r="B37" s="332"/>
      <c r="C37" s="329"/>
      <c r="D37" s="16">
        <f>D36</f>
        <v>44678</v>
      </c>
      <c r="E37" s="19">
        <f t="shared" si="30"/>
        <v>-0.60139998809774753</v>
      </c>
      <c r="F37" s="19">
        <f t="shared" si="30"/>
        <v>-0.29936513705005596</v>
      </c>
      <c r="G37" s="19">
        <f t="shared" si="30"/>
        <v>0.25147942155207437</v>
      </c>
      <c r="H37" s="19">
        <f t="shared" si="30"/>
        <v>0.4172550874074899</v>
      </c>
      <c r="I37" s="19">
        <f t="shared" si="30"/>
        <v>0.53718786830737242</v>
      </c>
      <c r="J37" s="19">
        <f t="shared" si="30"/>
        <v>0.47359929529079797</v>
      </c>
      <c r="K37" s="19">
        <f t="shared" si="30"/>
        <v>-7.2815637427290163</v>
      </c>
      <c r="L37" s="19">
        <f t="shared" si="30"/>
        <v>-1.0024295269539401</v>
      </c>
      <c r="M37" s="229"/>
      <c r="N37" s="229"/>
      <c r="O37" s="229"/>
      <c r="P37" s="229"/>
    </row>
    <row r="38" spans="2:16" ht="36.75" customHeight="1" thickBot="1" x14ac:dyDescent="0.3">
      <c r="B38" s="208" t="s">
        <v>100</v>
      </c>
      <c r="C38" s="213" t="s">
        <v>101</v>
      </c>
      <c r="D38" s="16">
        <v>43910</v>
      </c>
      <c r="E38" s="28"/>
      <c r="F38" s="28"/>
      <c r="G38" s="28"/>
      <c r="H38" s="28"/>
      <c r="I38" s="28"/>
      <c r="J38" s="28"/>
      <c r="K38" s="28"/>
      <c r="L38" s="27">
        <v>0.39900000000000002</v>
      </c>
      <c r="M38" s="27">
        <v>0.39900000000000002</v>
      </c>
      <c r="N38" s="229"/>
      <c r="O38" s="229"/>
      <c r="P38" s="229"/>
    </row>
    <row r="39" spans="2:16" ht="36.75" customHeight="1" thickBot="1" x14ac:dyDescent="0.3">
      <c r="B39" s="208" t="s">
        <v>102</v>
      </c>
      <c r="C39" s="213" t="s">
        <v>103</v>
      </c>
      <c r="D39" s="16">
        <f>D26</f>
        <v>44665</v>
      </c>
      <c r="E39" s="28"/>
      <c r="F39" s="28"/>
      <c r="G39" s="28"/>
      <c r="H39" s="28"/>
      <c r="I39" s="28"/>
      <c r="J39" s="28"/>
      <c r="K39" s="28"/>
      <c r="L39" s="22">
        <v>8.1000000000000003E-2</v>
      </c>
      <c r="M39" s="22">
        <v>0.1</v>
      </c>
      <c r="N39" s="229"/>
      <c r="O39" s="229"/>
      <c r="P39" s="229"/>
    </row>
    <row r="40" spans="2:16" ht="36.75" customHeight="1" thickBot="1" x14ac:dyDescent="0.3">
      <c r="B40" s="210" t="s">
        <v>104</v>
      </c>
      <c r="C40" s="209" t="s">
        <v>105</v>
      </c>
      <c r="D40" s="16">
        <f>D26</f>
        <v>44665</v>
      </c>
      <c r="E40" s="28"/>
      <c r="F40" s="28"/>
      <c r="G40" s="28"/>
      <c r="H40" s="28"/>
      <c r="I40" s="28"/>
      <c r="J40" s="28"/>
      <c r="K40" s="28"/>
      <c r="L40" s="22">
        <v>4.1000000000000002E-2</v>
      </c>
      <c r="M40" s="22">
        <v>0.05</v>
      </c>
      <c r="N40" s="229"/>
      <c r="O40" s="229"/>
      <c r="P40" s="229"/>
    </row>
    <row r="41" spans="2:16" x14ac:dyDescent="0.25">
      <c r="B41" s="29"/>
      <c r="C41" s="29"/>
      <c r="D41" s="29"/>
    </row>
    <row r="42" spans="2:16" ht="15" thickBot="1" x14ac:dyDescent="0.35">
      <c r="C42" s="10" t="s">
        <v>50</v>
      </c>
      <c r="E42" s="323" t="s">
        <v>51</v>
      </c>
      <c r="F42" s="323"/>
      <c r="G42" s="323"/>
      <c r="H42" s="323"/>
      <c r="I42" s="323"/>
      <c r="J42" s="323"/>
      <c r="M42" s="231"/>
    </row>
    <row r="43" spans="2:16" ht="15" thickBot="1" x14ac:dyDescent="0.35">
      <c r="C43" s="10" t="s">
        <v>106</v>
      </c>
      <c r="D43" s="30"/>
      <c r="E43" s="322" t="s">
        <v>107</v>
      </c>
      <c r="F43" s="323"/>
      <c r="G43" s="323"/>
      <c r="H43" s="323"/>
      <c r="I43" s="323"/>
      <c r="J43" s="323"/>
      <c r="K43" s="24"/>
      <c r="L43" s="24"/>
    </row>
    <row r="44" spans="2:16" ht="15" thickBot="1" x14ac:dyDescent="0.35">
      <c r="B44" s="10" t="s">
        <v>322</v>
      </c>
      <c r="C44" s="10" t="s">
        <v>108</v>
      </c>
      <c r="D44" s="31"/>
      <c r="E44" s="322" t="s">
        <v>109</v>
      </c>
      <c r="F44" s="323"/>
      <c r="G44" s="323"/>
      <c r="H44" s="323"/>
      <c r="I44" s="323"/>
      <c r="J44" s="323"/>
      <c r="K44" s="24"/>
      <c r="L44" s="24"/>
    </row>
    <row r="45" spans="2:16" ht="15" customHeight="1" thickBot="1" x14ac:dyDescent="0.35">
      <c r="B45" s="10"/>
      <c r="C45" s="10" t="s">
        <v>110</v>
      </c>
      <c r="D45" s="32"/>
      <c r="E45" s="324" t="s">
        <v>111</v>
      </c>
      <c r="F45" s="325"/>
      <c r="G45" s="325"/>
      <c r="H45" s="325"/>
      <c r="I45" s="325"/>
      <c r="J45" s="325"/>
      <c r="K45" s="325"/>
      <c r="L45" s="325"/>
    </row>
    <row r="46" spans="2:16" ht="15" thickBot="1" x14ac:dyDescent="0.35">
      <c r="C46" s="10" t="s">
        <v>112</v>
      </c>
      <c r="E46" s="323" t="s">
        <v>113</v>
      </c>
      <c r="F46" s="323"/>
      <c r="G46" s="323"/>
      <c r="H46" s="323"/>
      <c r="I46" s="323"/>
      <c r="J46" s="323"/>
    </row>
    <row r="47" spans="2:16" ht="14.4" thickBot="1" x14ac:dyDescent="0.3">
      <c r="C47" s="33" t="s">
        <v>114</v>
      </c>
      <c r="D47" s="34"/>
      <c r="E47" s="196" t="s">
        <v>115</v>
      </c>
      <c r="F47" s="290"/>
      <c r="G47" s="290"/>
      <c r="H47" s="290"/>
      <c r="I47" s="290"/>
      <c r="J47" s="290"/>
    </row>
    <row r="48" spans="2:16" x14ac:dyDescent="0.25">
      <c r="C48" s="36" t="s">
        <v>116</v>
      </c>
      <c r="D48" s="37">
        <v>4.9999999999999899E-2</v>
      </c>
      <c r="E48" s="35"/>
    </row>
    <row r="49" spans="5:16" x14ac:dyDescent="0.25">
      <c r="E49" s="35"/>
    </row>
    <row r="50" spans="5:16" x14ac:dyDescent="0.25">
      <c r="E50" s="35"/>
    </row>
    <row r="51" spans="5:16" x14ac:dyDescent="0.25">
      <c r="E51" s="35"/>
      <c r="J51" s="38"/>
      <c r="K51" s="38"/>
    </row>
    <row r="52" spans="5:16" x14ac:dyDescent="0.25">
      <c r="E52" s="35"/>
      <c r="J52" s="38"/>
      <c r="K52" s="38"/>
    </row>
    <row r="53" spans="5:16" x14ac:dyDescent="0.25">
      <c r="E53" s="35"/>
      <c r="J53" s="38"/>
      <c r="K53" s="38"/>
      <c r="P53" s="232"/>
    </row>
    <row r="54" spans="5:16" x14ac:dyDescent="0.25">
      <c r="E54" s="35"/>
      <c r="J54" s="38"/>
      <c r="K54" s="38"/>
      <c r="P54" s="232"/>
    </row>
    <row r="55" spans="5:16" x14ac:dyDescent="0.25">
      <c r="E55" s="35"/>
      <c r="J55" s="38"/>
      <c r="K55" s="38"/>
      <c r="P55" s="232"/>
    </row>
    <row r="56" spans="5:16" x14ac:dyDescent="0.25">
      <c r="J56" s="38"/>
      <c r="K56" s="38"/>
      <c r="P56" s="232"/>
    </row>
    <row r="57" spans="5:16" x14ac:dyDescent="0.25">
      <c r="J57" s="38"/>
      <c r="K57" s="38"/>
      <c r="P57" s="232"/>
    </row>
    <row r="58" spans="5:16" x14ac:dyDescent="0.25">
      <c r="J58" s="38"/>
      <c r="K58" s="38"/>
      <c r="P58" s="232"/>
    </row>
    <row r="59" spans="5:16" x14ac:dyDescent="0.25">
      <c r="J59" s="38"/>
      <c r="K59" s="38"/>
      <c r="P59" s="232"/>
    </row>
    <row r="60" spans="5:16" x14ac:dyDescent="0.25">
      <c r="J60" s="38"/>
      <c r="K60" s="38"/>
      <c r="P60" s="232"/>
    </row>
    <row r="61" spans="5:16" x14ac:dyDescent="0.25">
      <c r="J61" s="38"/>
      <c r="K61" s="38"/>
      <c r="P61" s="232"/>
    </row>
    <row r="62" spans="5:16" x14ac:dyDescent="0.25">
      <c r="J62" s="38"/>
      <c r="K62" s="38"/>
      <c r="M62" s="232"/>
    </row>
  </sheetData>
  <mergeCells count="39">
    <mergeCell ref="E46:J46"/>
    <mergeCell ref="B3:P3"/>
    <mergeCell ref="B13:B14"/>
    <mergeCell ref="C13:C14"/>
    <mergeCell ref="B23:B24"/>
    <mergeCell ref="C23:C24"/>
    <mergeCell ref="B25:B26"/>
    <mergeCell ref="C25:C26"/>
    <mergeCell ref="B19:B20"/>
    <mergeCell ref="C19:C20"/>
    <mergeCell ref="B21:B22"/>
    <mergeCell ref="C21:C22"/>
    <mergeCell ref="B27:B28"/>
    <mergeCell ref="E42:J42"/>
    <mergeCell ref="B4:B5"/>
    <mergeCell ref="B9:B10"/>
    <mergeCell ref="C9:C10"/>
    <mergeCell ref="D4:D5"/>
    <mergeCell ref="B7:B8"/>
    <mergeCell ref="C7:C8"/>
    <mergeCell ref="B15:B16"/>
    <mergeCell ref="C15:C16"/>
    <mergeCell ref="B17:B18"/>
    <mergeCell ref="C17:C18"/>
    <mergeCell ref="B11:B12"/>
    <mergeCell ref="C11:C12"/>
    <mergeCell ref="B36:B37"/>
    <mergeCell ref="C36:C37"/>
    <mergeCell ref="B29:B30"/>
    <mergeCell ref="C29:C30"/>
    <mergeCell ref="B34:B35"/>
    <mergeCell ref="C34:C35"/>
    <mergeCell ref="E43:J43"/>
    <mergeCell ref="E44:J44"/>
    <mergeCell ref="E45:L45"/>
    <mergeCell ref="M4:P4"/>
    <mergeCell ref="C27:C28"/>
    <mergeCell ref="C4:C5"/>
    <mergeCell ref="E4:L4"/>
  </mergeCells>
  <hyperlinks>
    <hyperlink ref="B1" location="Content!A1" display="↖ atgal į turinį" xr:uid="{8E6CD68B-1742-410E-85D4-E8778B301C8F}"/>
  </hyperlink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225E2A-7248-4930-8E40-754466E749CA}">
  <sheetPr codeName="Lapas4">
    <tabColor theme="5"/>
  </sheetPr>
  <dimension ref="A1:M42"/>
  <sheetViews>
    <sheetView showGridLines="0" showRowColHeaders="0" zoomScaleNormal="100" workbookViewId="0"/>
  </sheetViews>
  <sheetFormatPr defaultColWidth="10" defaultRowHeight="13.8" x14ac:dyDescent="0.25"/>
  <cols>
    <col min="1" max="1" width="4.109375" style="1" customWidth="1"/>
    <col min="2" max="2" width="69" style="1" customWidth="1"/>
    <col min="3" max="3" width="24.33203125" style="1" customWidth="1"/>
    <col min="4" max="4" width="15.88671875" style="1" customWidth="1"/>
    <col min="5" max="5" width="11.33203125" style="1" customWidth="1"/>
    <col min="6" max="8" width="11.44140625" style="1" customWidth="1"/>
    <col min="9" max="16384" width="10" style="1"/>
  </cols>
  <sheetData>
    <row r="1" spans="1:9" x14ac:dyDescent="0.25">
      <c r="B1" s="222" t="s">
        <v>19</v>
      </c>
      <c r="C1" s="3"/>
      <c r="D1" s="3"/>
      <c r="E1" s="3"/>
      <c r="F1" s="3"/>
      <c r="G1" s="3"/>
      <c r="H1" s="3"/>
    </row>
    <row r="2" spans="1:9" ht="14.4" thickBot="1" x14ac:dyDescent="0.3">
      <c r="A2" s="12"/>
    </row>
    <row r="3" spans="1:9" ht="34.200000000000003" customHeight="1" thickBot="1" x14ac:dyDescent="0.3">
      <c r="B3" s="353" t="s">
        <v>117</v>
      </c>
      <c r="C3" s="354"/>
      <c r="D3" s="234"/>
      <c r="E3" s="234"/>
      <c r="F3" s="234"/>
      <c r="G3" s="234"/>
      <c r="H3" s="235"/>
    </row>
    <row r="4" spans="1:9" ht="21.75" customHeight="1" thickBot="1" x14ac:dyDescent="0.3">
      <c r="B4" s="355" t="s">
        <v>57</v>
      </c>
      <c r="C4" s="355" t="s">
        <v>118</v>
      </c>
      <c r="D4" s="355" t="s">
        <v>119</v>
      </c>
      <c r="E4" s="358" t="s">
        <v>23</v>
      </c>
      <c r="F4" s="359"/>
      <c r="G4" s="346" t="s">
        <v>24</v>
      </c>
      <c r="H4" s="347"/>
    </row>
    <row r="5" spans="1:9" ht="14.4" thickBot="1" x14ac:dyDescent="0.3">
      <c r="B5" s="356"/>
      <c r="C5" s="357"/>
      <c r="D5" s="357"/>
      <c r="E5" s="91">
        <f>'2. Macro'!L5</f>
        <v>2021</v>
      </c>
      <c r="F5" s="9" t="str">
        <f>'2. Macro'!M5</f>
        <v>2022N</v>
      </c>
      <c r="G5" s="92">
        <f>E5</f>
        <v>2021</v>
      </c>
      <c r="H5" s="93" t="str">
        <f>F5</f>
        <v>2022N</v>
      </c>
    </row>
    <row r="6" spans="1:9" ht="28.8" thickBot="1" x14ac:dyDescent="0.3">
      <c r="B6" s="208" t="s">
        <v>120</v>
      </c>
      <c r="C6" s="212"/>
      <c r="D6" s="107" t="s">
        <v>121</v>
      </c>
      <c r="E6" s="94">
        <f>'2. Macro'!L8</f>
        <v>55325.584999999999</v>
      </c>
      <c r="F6" s="94">
        <f>'2. Macro'!M8</f>
        <v>60223.56832429699</v>
      </c>
      <c r="G6" s="94">
        <f>'2. Macro'!L7</f>
        <v>55383.1</v>
      </c>
      <c r="H6" s="110">
        <f>'2. Macro'!M7</f>
        <v>60286.175321701536</v>
      </c>
    </row>
    <row r="7" spans="1:9" s="23" customFormat="1" ht="14.4" thickBot="1" x14ac:dyDescent="0.3">
      <c r="B7" s="333" t="s">
        <v>122</v>
      </c>
      <c r="C7" s="348" t="s">
        <v>123</v>
      </c>
      <c r="D7" s="159" t="s">
        <v>121</v>
      </c>
      <c r="E7" s="94">
        <f>E13-E15</f>
        <v>-554.59999999999854</v>
      </c>
      <c r="F7" s="94">
        <f>-2980.7</f>
        <v>-2980.7</v>
      </c>
      <c r="G7" s="94">
        <f>G13-G15</f>
        <v>-554.59999999999854</v>
      </c>
      <c r="H7" s="110">
        <f>H13-H15</f>
        <v>-2930.0859944967924</v>
      </c>
      <c r="I7" s="259"/>
    </row>
    <row r="8" spans="1:9" s="23" customFormat="1" ht="14.4" thickBot="1" x14ac:dyDescent="0.3">
      <c r="B8" s="343"/>
      <c r="C8" s="349"/>
      <c r="D8" s="159" t="s">
        <v>124</v>
      </c>
      <c r="E8" s="94">
        <f>E7/$E$6*100</f>
        <v>-1.0024295269539374</v>
      </c>
      <c r="F8" s="94">
        <f>F7/$F$6*100</f>
        <v>-4.9493912149962176</v>
      </c>
      <c r="G8" s="94">
        <f>G7/$G$6*100</f>
        <v>-1.0013885102134019</v>
      </c>
      <c r="H8" s="110">
        <f>H7/$H$6*100</f>
        <v>-4.8602950491736268</v>
      </c>
    </row>
    <row r="9" spans="1:9" s="23" customFormat="1" ht="14.4" thickBot="1" x14ac:dyDescent="0.3">
      <c r="B9" s="350" t="s">
        <v>125</v>
      </c>
      <c r="C9" s="348" t="s">
        <v>126</v>
      </c>
      <c r="D9" s="159" t="s">
        <v>121</v>
      </c>
      <c r="E9" s="94">
        <v>531.13509536000004</v>
      </c>
      <c r="F9" s="98">
        <v>334.37599999999998</v>
      </c>
      <c r="G9" s="94">
        <f>E9</f>
        <v>531.13509536000004</v>
      </c>
      <c r="H9" s="110">
        <f>F9</f>
        <v>334.37599999999998</v>
      </c>
    </row>
    <row r="10" spans="1:9" s="23" customFormat="1" ht="14.4" thickBot="1" x14ac:dyDescent="0.3">
      <c r="B10" s="351"/>
      <c r="C10" s="349"/>
      <c r="D10" s="159" t="s">
        <v>124</v>
      </c>
      <c r="E10" s="94">
        <f>E9/$E$6*100</f>
        <v>0.96001713377273834</v>
      </c>
      <c r="F10" s="94">
        <f>F9/$F$6*100</f>
        <v>0.55522448985324768</v>
      </c>
      <c r="G10" s="94">
        <f>G9/$G$6*100</f>
        <v>0.95902016203498908</v>
      </c>
      <c r="H10" s="110">
        <f>H9/$H$6*100</f>
        <v>0.55464789102259215</v>
      </c>
      <c r="I10" s="40"/>
    </row>
    <row r="11" spans="1:9" s="23" customFormat="1" ht="14.4" thickBot="1" x14ac:dyDescent="0.3">
      <c r="B11" s="350" t="s">
        <v>127</v>
      </c>
      <c r="C11" s="348" t="s">
        <v>128</v>
      </c>
      <c r="D11" s="159" t="s">
        <v>121</v>
      </c>
      <c r="E11" s="94">
        <v>227.3892415639657</v>
      </c>
      <c r="F11" s="98">
        <v>49.7</v>
      </c>
      <c r="G11" s="94">
        <f>E11</f>
        <v>227.3892415639657</v>
      </c>
      <c r="H11" s="110">
        <f>F11</f>
        <v>49.7</v>
      </c>
      <c r="I11" s="40"/>
    </row>
    <row r="12" spans="1:9" s="23" customFormat="1" ht="14.4" thickBot="1" x14ac:dyDescent="0.3">
      <c r="B12" s="351"/>
      <c r="C12" s="349"/>
      <c r="D12" s="159" t="s">
        <v>124</v>
      </c>
      <c r="E12" s="94">
        <f>E11/$E$6*100</f>
        <v>0.41100196511969234</v>
      </c>
      <c r="F12" s="94">
        <f>F11/$F$6*100</f>
        <v>8.2525830638880804E-2</v>
      </c>
      <c r="G12" s="94">
        <f>G11/$G$6*100</f>
        <v>0.41057514217146696</v>
      </c>
      <c r="H12" s="110">
        <f>H11/$H$6*100</f>
        <v>8.2440127831611226E-2</v>
      </c>
    </row>
    <row r="13" spans="1:9" s="23" customFormat="1" ht="14.4" thickBot="1" x14ac:dyDescent="0.3">
      <c r="B13" s="333" t="s">
        <v>129</v>
      </c>
      <c r="C13" s="335" t="s">
        <v>130</v>
      </c>
      <c r="D13" s="159" t="s">
        <v>121</v>
      </c>
      <c r="E13" s="94">
        <v>20881.839</v>
      </c>
      <c r="F13" s="98">
        <f>F6*F14/100</f>
        <v>22523.614553287072</v>
      </c>
      <c r="G13" s="94">
        <f>E13</f>
        <v>20881.839</v>
      </c>
      <c r="H13" s="257">
        <v>22312.396048357801</v>
      </c>
    </row>
    <row r="14" spans="1:9" s="23" customFormat="1" ht="14.4" thickBot="1" x14ac:dyDescent="0.3">
      <c r="B14" s="334"/>
      <c r="C14" s="336"/>
      <c r="D14" s="159" t="s">
        <v>124</v>
      </c>
      <c r="E14" s="94">
        <f>E13/$E$6*100</f>
        <v>37.743548486654049</v>
      </c>
      <c r="F14" s="94">
        <v>37.4</v>
      </c>
      <c r="G14" s="94">
        <f>G13/$G$6*100</f>
        <v>37.704352049632476</v>
      </c>
      <c r="H14" s="110">
        <f>H13/$H$6*100</f>
        <v>37.010800451834086</v>
      </c>
    </row>
    <row r="15" spans="1:9" s="23" customFormat="1" ht="14.4" thickBot="1" x14ac:dyDescent="0.3">
      <c r="B15" s="333" t="s">
        <v>131</v>
      </c>
      <c r="C15" s="335" t="s">
        <v>132</v>
      </c>
      <c r="D15" s="159" t="s">
        <v>121</v>
      </c>
      <c r="E15" s="94">
        <v>21436.438999999998</v>
      </c>
      <c r="F15" s="98">
        <f>F6*F16/100</f>
        <v>25474.569401177625</v>
      </c>
      <c r="G15" s="94">
        <f>E15</f>
        <v>21436.438999999998</v>
      </c>
      <c r="H15" s="257">
        <v>25242.482042854594</v>
      </c>
      <c r="I15" s="259"/>
    </row>
    <row r="16" spans="1:9" s="23" customFormat="1" ht="14.4" thickBot="1" x14ac:dyDescent="0.3">
      <c r="B16" s="334"/>
      <c r="C16" s="336"/>
      <c r="D16" s="159" t="s">
        <v>124</v>
      </c>
      <c r="E16" s="94">
        <f>E15/$E$6*100</f>
        <v>38.745978013607989</v>
      </c>
      <c r="F16" s="94">
        <v>42.3</v>
      </c>
      <c r="G16" s="94">
        <f>G15/$G$6*100</f>
        <v>38.705740559845871</v>
      </c>
      <c r="H16" s="110">
        <f>H15/$H$6*100</f>
        <v>41.871095501007709</v>
      </c>
    </row>
    <row r="17" spans="2:8" s="23" customFormat="1" ht="15" customHeight="1" thickBot="1" x14ac:dyDescent="0.3">
      <c r="B17" s="350" t="s">
        <v>315</v>
      </c>
      <c r="C17" s="335" t="s">
        <v>316</v>
      </c>
      <c r="D17" s="159" t="s">
        <v>121</v>
      </c>
      <c r="E17" s="94">
        <v>11612.634063830001</v>
      </c>
      <c r="F17" s="98">
        <v>14095.387000000001</v>
      </c>
      <c r="G17" s="94">
        <v>11612.634063830001</v>
      </c>
      <c r="H17" s="257">
        <v>14380.2006634681</v>
      </c>
    </row>
    <row r="18" spans="2:8" s="23" customFormat="1" ht="14.4" thickBot="1" x14ac:dyDescent="0.3">
      <c r="B18" s="351"/>
      <c r="C18" s="336"/>
      <c r="D18" s="159" t="s">
        <v>124</v>
      </c>
      <c r="E18" s="94">
        <f>E17/E6*100</f>
        <v>20.989627247194946</v>
      </c>
      <c r="F18" s="94">
        <f>F17/F6*100</f>
        <v>23.405101013108297</v>
      </c>
      <c r="G18" s="94">
        <f t="shared" ref="G18:H18" si="0">G17/G6*100</f>
        <v>20.967829651698803</v>
      </c>
      <c r="H18" s="110">
        <f t="shared" si="0"/>
        <v>23.85323100483965</v>
      </c>
    </row>
    <row r="19" spans="2:8" s="23" customFormat="1" ht="15" customHeight="1" thickBot="1" x14ac:dyDescent="0.3">
      <c r="B19" s="350" t="s">
        <v>317</v>
      </c>
      <c r="C19" s="335" t="s">
        <v>133</v>
      </c>
      <c r="D19" s="159" t="s">
        <v>121</v>
      </c>
      <c r="E19" s="94">
        <v>7437.2516822100006</v>
      </c>
      <c r="F19" s="98">
        <v>8438.2890000000007</v>
      </c>
      <c r="G19" s="94">
        <f>E19</f>
        <v>7437.2516822100006</v>
      </c>
      <c r="H19" s="257">
        <v>8438.2890000000007</v>
      </c>
    </row>
    <row r="20" spans="2:8" s="23" customFormat="1" ht="14.4" thickBot="1" x14ac:dyDescent="0.3">
      <c r="B20" s="352"/>
      <c r="C20" s="336"/>
      <c r="D20" s="159" t="s">
        <v>124</v>
      </c>
      <c r="E20" s="94">
        <f>E19/E6*100</f>
        <v>13.442698675865788</v>
      </c>
      <c r="F20" s="94">
        <f t="shared" ref="F20:G20" si="1">F19/F6*100</f>
        <v>14.011605812795391</v>
      </c>
      <c r="G20" s="94">
        <f t="shared" si="1"/>
        <v>13.428738518085845</v>
      </c>
      <c r="H20" s="110">
        <f>H19/H6*100</f>
        <v>13.99705480563539</v>
      </c>
    </row>
    <row r="21" spans="2:8" s="23" customFormat="1" ht="15" customHeight="1" thickBot="1" x14ac:dyDescent="0.3">
      <c r="B21" s="333" t="s">
        <v>134</v>
      </c>
      <c r="C21" s="348" t="s">
        <v>318</v>
      </c>
      <c r="D21" s="159" t="s">
        <v>121</v>
      </c>
      <c r="E21" s="94">
        <f t="shared" ref="E21:F21" si="2">E19+E17</f>
        <v>19049.885746040003</v>
      </c>
      <c r="F21" s="94">
        <f t="shared" si="2"/>
        <v>22533.675999999999</v>
      </c>
      <c r="G21" s="94">
        <f>G19+G17</f>
        <v>19049.885746040003</v>
      </c>
      <c r="H21" s="110">
        <f>H17+H19</f>
        <v>22818.489663468099</v>
      </c>
    </row>
    <row r="22" spans="2:8" s="23" customFormat="1" ht="16.5" customHeight="1" thickBot="1" x14ac:dyDescent="0.3">
      <c r="B22" s="343"/>
      <c r="C22" s="349"/>
      <c r="D22" s="159" t="s">
        <v>124</v>
      </c>
      <c r="E22" s="94">
        <f>E21/E$6*100</f>
        <v>34.432325923060738</v>
      </c>
      <c r="F22" s="94">
        <f t="shared" ref="F22:G22" si="3">F21/F$6*100</f>
        <v>37.416706825903681</v>
      </c>
      <c r="G22" s="94">
        <f t="shared" si="3"/>
        <v>34.396568169784651</v>
      </c>
      <c r="H22" s="110">
        <f>H21/H$6*100</f>
        <v>37.850285810475036</v>
      </c>
    </row>
    <row r="23" spans="2:8" s="23" customFormat="1" ht="14.4" thickBot="1" x14ac:dyDescent="0.3">
      <c r="B23" s="333" t="s">
        <v>135</v>
      </c>
      <c r="C23" s="335" t="s">
        <v>136</v>
      </c>
      <c r="D23" s="159" t="s">
        <v>121</v>
      </c>
      <c r="E23" s="262">
        <v>-7.3</v>
      </c>
      <c r="F23" s="261">
        <v>0.5</v>
      </c>
      <c r="G23" s="263">
        <f>E23</f>
        <v>-7.3</v>
      </c>
      <c r="H23" s="263">
        <f>F23</f>
        <v>0.5</v>
      </c>
    </row>
    <row r="24" spans="2:8" ht="14.4" thickBot="1" x14ac:dyDescent="0.3">
      <c r="B24" s="334"/>
      <c r="C24" s="336"/>
      <c r="D24" s="159" t="s">
        <v>124</v>
      </c>
      <c r="E24" s="94">
        <f>E23/$E$6*100</f>
        <v>-1.3194618728387598E-2</v>
      </c>
      <c r="F24" s="94">
        <f>F23/$F$6*100</f>
        <v>8.3023974485795567E-4</v>
      </c>
      <c r="G24" s="94">
        <f>G23/$G$6*100</f>
        <v>-1.3180916200068253E-2</v>
      </c>
      <c r="H24" s="110">
        <f>H23/$H$6*100</f>
        <v>8.2937754357757766E-4</v>
      </c>
    </row>
    <row r="25" spans="2:8" ht="14.4" thickBot="1" x14ac:dyDescent="0.3">
      <c r="B25" s="333" t="s">
        <v>137</v>
      </c>
      <c r="C25" s="335" t="s">
        <v>138</v>
      </c>
      <c r="D25" s="159" t="s">
        <v>121</v>
      </c>
      <c r="E25" s="258">
        <v>0</v>
      </c>
      <c r="F25" s="99">
        <v>0</v>
      </c>
      <c r="G25" s="99">
        <v>0</v>
      </c>
      <c r="H25" s="99">
        <v>0</v>
      </c>
    </row>
    <row r="26" spans="2:8" ht="14.4" thickBot="1" x14ac:dyDescent="0.3">
      <c r="B26" s="334"/>
      <c r="C26" s="336"/>
      <c r="D26" s="159" t="s">
        <v>124</v>
      </c>
      <c r="E26" s="94">
        <f>E25/$E$6*100</f>
        <v>0</v>
      </c>
      <c r="F26" s="94">
        <f>F25/$F$6*100</f>
        <v>0</v>
      </c>
      <c r="G26" s="94">
        <f>G25/$G$6*100</f>
        <v>0</v>
      </c>
      <c r="H26" s="110">
        <f>H25/$H$6*100</f>
        <v>0</v>
      </c>
    </row>
    <row r="27" spans="2:8" ht="14.4" thickBot="1" x14ac:dyDescent="0.3">
      <c r="B27" s="333" t="s">
        <v>139</v>
      </c>
      <c r="C27" s="335" t="s">
        <v>140</v>
      </c>
      <c r="D27" s="159" t="s">
        <v>121</v>
      </c>
      <c r="E27" s="258">
        <v>0</v>
      </c>
      <c r="F27" s="99">
        <v>0</v>
      </c>
      <c r="G27" s="99">
        <v>0</v>
      </c>
      <c r="H27" s="99">
        <v>0</v>
      </c>
    </row>
    <row r="28" spans="2:8" ht="14.4" thickBot="1" x14ac:dyDescent="0.3">
      <c r="B28" s="334"/>
      <c r="C28" s="336"/>
      <c r="D28" s="159" t="s">
        <v>124</v>
      </c>
      <c r="E28" s="94">
        <f>E27/$E$6*100</f>
        <v>0</v>
      </c>
      <c r="F28" s="94">
        <f>F27/$F$6*100</f>
        <v>0</v>
      </c>
      <c r="G28" s="94">
        <f>G27/$G$6*100</f>
        <v>0</v>
      </c>
      <c r="H28" s="110">
        <f>H27/$H$6*100</f>
        <v>0</v>
      </c>
    </row>
    <row r="29" spans="2:8" ht="28.8" thickBot="1" x14ac:dyDescent="0.3">
      <c r="B29" s="210" t="s">
        <v>141</v>
      </c>
      <c r="C29" s="159" t="s">
        <v>142</v>
      </c>
      <c r="D29" s="159" t="s">
        <v>124</v>
      </c>
      <c r="E29" s="39">
        <v>0</v>
      </c>
      <c r="F29" s="39">
        <v>0</v>
      </c>
      <c r="G29" s="39">
        <f>E29</f>
        <v>0</v>
      </c>
      <c r="H29" s="39">
        <f>F29</f>
        <v>0</v>
      </c>
    </row>
    <row r="30" spans="2:8" ht="33" customHeight="1" thickBot="1" x14ac:dyDescent="0.3">
      <c r="B30" s="210" t="s">
        <v>143</v>
      </c>
      <c r="C30" s="159" t="s">
        <v>144</v>
      </c>
      <c r="D30" s="159" t="s">
        <v>124</v>
      </c>
      <c r="E30" s="258">
        <f>E8-'2. Macro'!L22-E24+E29</f>
        <v>-1.1636836478653441</v>
      </c>
      <c r="F30" s="99">
        <f>F8-'2. Macro'!M22-F24+F29</f>
        <v>-4.6513695399000046</v>
      </c>
      <c r="G30" s="260">
        <f>G8-'2. Macro'!L21-G24+G29</f>
        <v>-1.8598652717072561</v>
      </c>
      <c r="H30" s="260">
        <f>H8-'2. Macro'!M21-H24+H29</f>
        <v>-5.1222783204466662</v>
      </c>
    </row>
    <row r="31" spans="2:8" ht="28.8" thickBot="1" x14ac:dyDescent="0.3">
      <c r="B31" s="210" t="s">
        <v>145</v>
      </c>
      <c r="C31" s="159" t="s">
        <v>146</v>
      </c>
      <c r="D31" s="159" t="s">
        <v>124</v>
      </c>
      <c r="E31" s="19">
        <f>E10-'2. Macro'!L24-E26</f>
        <v>0.92460272798120113</v>
      </c>
      <c r="F31" s="19">
        <f>F10-'2. Macro'!M24-F26</f>
        <v>0.6301247191367243</v>
      </c>
      <c r="G31" s="19">
        <f>G10-'2. Macro'!L23-G26</f>
        <v>0.7820670996459973</v>
      </c>
      <c r="H31" s="19">
        <f>H10-'2. Macro'!M23-H26</f>
        <v>0.48919578733099767</v>
      </c>
    </row>
    <row r="32" spans="2:8" ht="28.8" thickBot="1" x14ac:dyDescent="0.3">
      <c r="B32" s="210" t="s">
        <v>147</v>
      </c>
      <c r="C32" s="159" t="s">
        <v>148</v>
      </c>
      <c r="D32" s="159" t="s">
        <v>124</v>
      </c>
      <c r="E32" s="19">
        <f>E12-'2. Macro'!L26-E28</f>
        <v>0.39307615478076613</v>
      </c>
      <c r="F32" s="19">
        <f>F12-'2. Macro'!M26-F28</f>
        <v>0.11997594528061911</v>
      </c>
      <c r="G32" s="39">
        <f>E12-'2. Macro'!L25-G28</f>
        <v>0.3214331310709434</v>
      </c>
      <c r="H32" s="39">
        <f>H12-'2. Macro'!M25-H28</f>
        <v>4.9714075985813982E-2</v>
      </c>
    </row>
    <row r="33" spans="2:13" ht="28.8" thickBot="1" x14ac:dyDescent="0.3">
      <c r="B33" s="210" t="s">
        <v>149</v>
      </c>
      <c r="C33" s="211" t="s">
        <v>150</v>
      </c>
      <c r="D33" s="159" t="s">
        <v>124</v>
      </c>
      <c r="E33" s="111">
        <v>-1</v>
      </c>
      <c r="F33" s="111">
        <v>-1</v>
      </c>
      <c r="G33" s="111">
        <v>-1</v>
      </c>
      <c r="H33" s="256">
        <v>-1</v>
      </c>
    </row>
    <row r="34" spans="2:13" ht="28.8" thickBot="1" x14ac:dyDescent="0.3">
      <c r="B34" s="210" t="s">
        <v>151</v>
      </c>
      <c r="C34" s="211" t="s">
        <v>152</v>
      </c>
      <c r="D34" s="159" t="s">
        <v>124</v>
      </c>
      <c r="E34" s="111">
        <v>0</v>
      </c>
      <c r="F34" s="111">
        <v>0</v>
      </c>
      <c r="G34" s="111">
        <v>0</v>
      </c>
      <c r="H34" s="256">
        <v>0</v>
      </c>
    </row>
    <row r="35" spans="2:13" x14ac:dyDescent="0.25">
      <c r="C35" s="41"/>
      <c r="D35" s="41"/>
      <c r="E35" s="41"/>
      <c r="F35" s="41"/>
      <c r="G35" s="41"/>
      <c r="H35" s="41"/>
    </row>
    <row r="36" spans="2:13" ht="15" thickBot="1" x14ac:dyDescent="0.35">
      <c r="C36" s="10" t="s">
        <v>50</v>
      </c>
      <c r="D36" s="10"/>
      <c r="E36" s="194" t="s">
        <v>51</v>
      </c>
      <c r="F36" s="96"/>
      <c r="G36" s="96"/>
      <c r="H36" s="96"/>
    </row>
    <row r="37" spans="2:13" ht="15" thickBot="1" x14ac:dyDescent="0.35">
      <c r="B37" s="42"/>
      <c r="C37" s="43" t="s">
        <v>153</v>
      </c>
      <c r="D37" s="31"/>
      <c r="E37" s="195" t="s">
        <v>154</v>
      </c>
      <c r="F37" s="95"/>
      <c r="G37" s="95"/>
    </row>
    <row r="38" spans="2:13" ht="15" customHeight="1" thickBot="1" x14ac:dyDescent="0.35">
      <c r="B38" s="44"/>
      <c r="C38" s="10" t="s">
        <v>110</v>
      </c>
      <c r="D38" s="32"/>
      <c r="E38" s="324" t="s">
        <v>111</v>
      </c>
      <c r="F38" s="325"/>
      <c r="G38" s="325"/>
      <c r="H38" s="325"/>
      <c r="I38" s="325"/>
      <c r="J38" s="325"/>
      <c r="K38" s="325"/>
      <c r="L38" s="325"/>
      <c r="M38" s="325"/>
    </row>
    <row r="39" spans="2:13" ht="15" thickBot="1" x14ac:dyDescent="0.35">
      <c r="C39" s="10"/>
      <c r="E39" s="134"/>
    </row>
    <row r="40" spans="2:13" ht="14.4" thickBot="1" x14ac:dyDescent="0.3">
      <c r="C40" s="33" t="s">
        <v>114</v>
      </c>
      <c r="D40" s="34"/>
      <c r="E40" s="196" t="s">
        <v>115</v>
      </c>
      <c r="F40" s="97"/>
      <c r="G40" s="97"/>
    </row>
    <row r="41" spans="2:13" ht="14.4" customHeight="1" x14ac:dyDescent="0.25">
      <c r="C41" s="345"/>
      <c r="D41" s="345"/>
      <c r="E41" s="24"/>
      <c r="F41" s="24"/>
      <c r="G41" s="24"/>
      <c r="H41" s="24"/>
    </row>
    <row r="42" spans="2:13" x14ac:dyDescent="0.25">
      <c r="C42" s="345"/>
      <c r="D42" s="345"/>
      <c r="E42" s="24"/>
      <c r="F42" s="24"/>
      <c r="G42" s="24"/>
      <c r="H42" s="24"/>
    </row>
  </sheetData>
  <mergeCells count="31">
    <mergeCell ref="B3:C3"/>
    <mergeCell ref="B4:B5"/>
    <mergeCell ref="C4:C5"/>
    <mergeCell ref="D4:D5"/>
    <mergeCell ref="E38:M38"/>
    <mergeCell ref="E4:F4"/>
    <mergeCell ref="C27:C28"/>
    <mergeCell ref="B15:B16"/>
    <mergeCell ref="C15:C16"/>
    <mergeCell ref="B23:B24"/>
    <mergeCell ref="C23:C24"/>
    <mergeCell ref="B25:B26"/>
    <mergeCell ref="C25:C26"/>
    <mergeCell ref="B21:B22"/>
    <mergeCell ref="C21:C22"/>
    <mergeCell ref="B27:B28"/>
    <mergeCell ref="C42:D42"/>
    <mergeCell ref="C41:D41"/>
    <mergeCell ref="G4:H4"/>
    <mergeCell ref="B7:B8"/>
    <mergeCell ref="C7:C8"/>
    <mergeCell ref="B13:B14"/>
    <mergeCell ref="C13:C14"/>
    <mergeCell ref="B11:B12"/>
    <mergeCell ref="C11:C12"/>
    <mergeCell ref="B9:B10"/>
    <mergeCell ref="C9:C10"/>
    <mergeCell ref="B19:B20"/>
    <mergeCell ref="C19:C20"/>
    <mergeCell ref="B17:B18"/>
    <mergeCell ref="C17:C18"/>
  </mergeCells>
  <hyperlinks>
    <hyperlink ref="B1" location="Content!A1" display="↖ atgal į turinį" xr:uid="{8D49A034-0168-4894-B604-40CFF3F7B0DE}"/>
  </hyperlinks>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D5AF26-555D-4185-9071-ED9B1F6A1AFC}">
  <sheetPr codeName="Lapas5">
    <tabColor rgb="FF47ABD9"/>
  </sheetPr>
  <dimension ref="A1:J45"/>
  <sheetViews>
    <sheetView showGridLines="0" showRowColHeaders="0" zoomScaleNormal="100" workbookViewId="0"/>
  </sheetViews>
  <sheetFormatPr defaultColWidth="10" defaultRowHeight="13.8" x14ac:dyDescent="0.25"/>
  <cols>
    <col min="1" max="1" width="3.6640625" style="1" customWidth="1"/>
    <col min="2" max="2" width="5.33203125" style="1" customWidth="1"/>
    <col min="3" max="3" width="62.5546875" style="1" customWidth="1"/>
    <col min="4" max="4" width="23.33203125" style="1" customWidth="1"/>
    <col min="5" max="6" width="18.88671875" style="1" customWidth="1"/>
    <col min="7" max="16384" width="10" style="1"/>
  </cols>
  <sheetData>
    <row r="1" spans="1:10" x14ac:dyDescent="0.25">
      <c r="A1" s="2"/>
      <c r="B1" s="382" t="s">
        <v>19</v>
      </c>
      <c r="C1" s="382"/>
      <c r="D1" s="2"/>
    </row>
    <row r="2" spans="1:10" ht="14.4" thickBot="1" x14ac:dyDescent="0.3">
      <c r="A2" s="12" t="s">
        <v>20</v>
      </c>
    </row>
    <row r="3" spans="1:10" ht="34.5" customHeight="1" thickTop="1" thickBot="1" x14ac:dyDescent="0.3">
      <c r="A3" s="13"/>
      <c r="B3" s="305" t="s">
        <v>327</v>
      </c>
      <c r="C3" s="383"/>
      <c r="D3" s="383"/>
      <c r="E3" s="383"/>
      <c r="F3" s="384"/>
    </row>
    <row r="4" spans="1:10" ht="41.25" customHeight="1" thickBot="1" x14ac:dyDescent="0.3">
      <c r="B4" s="104" t="s">
        <v>155</v>
      </c>
      <c r="C4" s="133" t="s">
        <v>156</v>
      </c>
      <c r="D4" s="133" t="s">
        <v>157</v>
      </c>
      <c r="E4" s="385" t="s">
        <v>158</v>
      </c>
      <c r="F4" s="386"/>
    </row>
    <row r="5" spans="1:10" ht="33" customHeight="1" thickBot="1" x14ac:dyDescent="0.3">
      <c r="B5" s="387" t="s">
        <v>159</v>
      </c>
      <c r="C5" s="388"/>
      <c r="D5" s="389"/>
      <c r="E5" s="128" t="s">
        <v>23</v>
      </c>
      <c r="F5" s="129" t="s">
        <v>24</v>
      </c>
    </row>
    <row r="6" spans="1:10" ht="14.25" customHeight="1" x14ac:dyDescent="0.25">
      <c r="B6" s="390"/>
      <c r="C6" s="144" t="s">
        <v>160</v>
      </c>
      <c r="D6" s="376"/>
      <c r="E6" s="363" t="str">
        <f>"Taip"</f>
        <v>Taip</v>
      </c>
      <c r="F6" s="364"/>
    </row>
    <row r="7" spans="1:10" ht="14.25" customHeight="1" thickBot="1" x14ac:dyDescent="0.35">
      <c r="B7" s="391"/>
      <c r="C7" s="145" t="s">
        <v>29</v>
      </c>
      <c r="D7" s="377"/>
      <c r="E7" s="374" t="str">
        <f>"Yes"</f>
        <v>Yes</v>
      </c>
      <c r="F7" s="375"/>
    </row>
    <row r="8" spans="1:10" ht="18" customHeight="1" x14ac:dyDescent="0.25">
      <c r="B8" s="379" t="s">
        <v>161</v>
      </c>
      <c r="C8" s="371" t="s">
        <v>162</v>
      </c>
      <c r="D8" s="355" t="s">
        <v>163</v>
      </c>
      <c r="E8" s="151" t="str">
        <f>IF(E28&gt;eps,"Tiesa","Netiesa")</f>
        <v>Netiesa</v>
      </c>
      <c r="F8" s="46" t="str">
        <f>IF(F28&gt;eps,"Tiesa","Netiesa")</f>
        <v>Netiesa</v>
      </c>
    </row>
    <row r="9" spans="1:10" ht="15.75" customHeight="1" x14ac:dyDescent="0.25">
      <c r="B9" s="380"/>
      <c r="C9" s="372"/>
      <c r="D9" s="373"/>
      <c r="E9" s="485" t="str">
        <f>CONCATENATE(FIXED(E28,1),IF(E28="Tiesa"," ≥ "," &lt; "),FIXED(0,1))</f>
        <v>-4,7 &lt; 0,0</v>
      </c>
      <c r="F9" s="486" t="str">
        <f>CONCATENATE(FIXED(F28,1),IF(F28="Tiesa"," ≥ "," &lt; "),FIXED(0,1))</f>
        <v>-5,1 &lt; 0,0</v>
      </c>
      <c r="H9" s="47"/>
    </row>
    <row r="10" spans="1:10" ht="15" thickBot="1" x14ac:dyDescent="0.3">
      <c r="B10" s="381"/>
      <c r="C10" s="146" t="s">
        <v>164</v>
      </c>
      <c r="D10" s="357"/>
      <c r="E10" s="135" t="str">
        <f>IF(E8="Tiesa","True","False")</f>
        <v>False</v>
      </c>
      <c r="F10" s="126" t="str">
        <f>IF(F8="Tiesa","True","False")</f>
        <v>False</v>
      </c>
      <c r="H10" s="47"/>
    </row>
    <row r="11" spans="1:10" ht="36" customHeight="1" x14ac:dyDescent="0.25">
      <c r="B11" s="379" t="s">
        <v>165</v>
      </c>
      <c r="C11" s="371" t="s">
        <v>166</v>
      </c>
      <c r="D11" s="355" t="s">
        <v>167</v>
      </c>
      <c r="E11" s="151" t="str">
        <f>IF((ABS(E28)+eps&lt;ABS($E$30))*(ABS(E28)&lt;ABS(E29))*(E31&gt;=-eps),"Tiesa","Netiesa")</f>
        <v>Netiesa</v>
      </c>
      <c r="F11" s="46" t="str">
        <f>IF((ABS(F28)+eps&lt;ABS($E$30))*(ABS(F28)&lt;ABS(F29))*(F31&gt;=-eps),"Tiesa","Netiesa")</f>
        <v>Netiesa</v>
      </c>
      <c r="I11" s="25"/>
    </row>
    <row r="12" spans="1:10" ht="43.5" customHeight="1" x14ac:dyDescent="0.25">
      <c r="B12" s="380"/>
      <c r="C12" s="372"/>
      <c r="D12" s="373"/>
      <c r="E12" s="88" t="str">
        <f>CONCATENATE(FIXED(ABS(E28),1),IF(ABS(E28)+eps&lt;ABS($E$30)," &lt; "," ≥ "),FIXED(ABS($E$30),1)," &amp;
",FIXED(ABS(E28),1),IF(ABS(E28)&lt;ABS(E29)," &lt; "," ≥ "),FIXED(ABS(E29),1)," &amp;
",FIXED(E31,1),IF(E31&lt;-eps," &lt; "," ≥ "),FIXED(0,1))</f>
        <v>4,7 ≥ 1,0 &amp;
4,7 ≥ 1,2 &amp;
-0,7 &lt; 0,0</v>
      </c>
      <c r="F12" s="143" t="str">
        <f>CONCATENATE(FIXED(ABS(F28),1),IF(ABS(F28)+eps&lt;ABS($E$30)," &lt; "," ≥ "),FIXED(ABS($E$30),1)," &amp;
",FIXED(ABS(F28),1),IF(ABS(F28)&lt;ABS(F29)," &lt; "," ≥ "),FIXED(ABS(F29),1)," &amp;
",FIXED(F31,1),IF(F31&lt;-eps," &lt; "," ≥ "),FIXED(0,1))</f>
        <v>5,1 ≥ 1,0 &amp;
5,1 ≥ 1,9 &amp;
0,7 ≥ 0,0</v>
      </c>
      <c r="G12" s="48"/>
      <c r="H12" s="49"/>
      <c r="I12" s="25"/>
      <c r="J12" s="25"/>
    </row>
    <row r="13" spans="1:10" ht="45" customHeight="1" thickBot="1" x14ac:dyDescent="0.3">
      <c r="B13" s="381"/>
      <c r="C13" s="146" t="s">
        <v>168</v>
      </c>
      <c r="D13" s="357"/>
      <c r="E13" s="90" t="str">
        <f>IF(E11="Tiesa","True","False")</f>
        <v>False</v>
      </c>
      <c r="F13" s="136" t="str">
        <f>IF(F11="Tiesa","True","False")</f>
        <v>False</v>
      </c>
      <c r="G13" s="48"/>
      <c r="H13" s="49"/>
      <c r="I13" s="25"/>
      <c r="J13" s="25"/>
    </row>
    <row r="14" spans="1:10" ht="33.75" customHeight="1" x14ac:dyDescent="0.25">
      <c r="B14" s="379" t="s">
        <v>169</v>
      </c>
      <c r="C14" s="371" t="s">
        <v>170</v>
      </c>
      <c r="D14" s="355" t="s">
        <v>171</v>
      </c>
      <c r="E14" s="151" t="str">
        <f>IF((ABS(E28)+eps&lt;ABS($E$30))*(E31&lt;-eps),"Tiesa","Netiesa")</f>
        <v>Netiesa</v>
      </c>
      <c r="F14" s="46" t="str">
        <f>IF((ABS(F28)+eps&lt;ABS($E$30))*(F31&lt;-eps),"Tiesa","Netiesa")</f>
        <v>Netiesa</v>
      </c>
      <c r="I14" s="25"/>
      <c r="J14" s="25"/>
    </row>
    <row r="15" spans="1:10" ht="33" customHeight="1" x14ac:dyDescent="0.25">
      <c r="B15" s="380"/>
      <c r="C15" s="372"/>
      <c r="D15" s="373"/>
      <c r="E15" s="88" t="str">
        <f>CONCATENATE(FIXED(ABS(E28),1),IF(ABS(E28)+eps&lt;ABS($E$30)," &lt; "," ≥ "),FIXED(ABS($E$30),1)," &amp;
",FIXED(E31,1),IF(E31&lt;-eps," &lt; "," ≥ "),FIXED(0,1))</f>
        <v>4,7 ≥ 1,0 &amp;
-0,7 &lt; 0,0</v>
      </c>
      <c r="F15" s="143" t="str">
        <f>CONCATENATE(FIXED(ABS(F28),1),IF(ABS(F28)+eps&lt;ABS($E$30)," &lt; "," ≥ "),FIXED(ABS($E$30),1)," &amp;
",FIXED(F31,1),IF(F31&lt;-eps," &lt; "," ≥ "),FIXED(0,1))</f>
        <v>5,1 ≥ 1,0 &amp;
0,7 ≥ 0,0</v>
      </c>
    </row>
    <row r="16" spans="1:10" ht="44.25" customHeight="1" thickBot="1" x14ac:dyDescent="0.3">
      <c r="B16" s="381"/>
      <c r="C16" s="146" t="s">
        <v>172</v>
      </c>
      <c r="D16" s="357"/>
      <c r="E16" s="90" t="str">
        <f>IF(E14="Tiesa","True","False")</f>
        <v>False</v>
      </c>
      <c r="F16" s="125" t="str">
        <f>IF(F14="Tiesa","True","False")</f>
        <v>False</v>
      </c>
    </row>
    <row r="17" spans="2:6" ht="34.5" customHeight="1" x14ac:dyDescent="0.25">
      <c r="B17" s="379" t="s">
        <v>173</v>
      </c>
      <c r="C17" s="393" t="s">
        <v>174</v>
      </c>
      <c r="D17" s="368" t="s">
        <v>175</v>
      </c>
      <c r="E17" s="151" t="str">
        <f>IF(($E$32&gt;0),IF((E28&gt;=E29+$E$32),"Tiesa","Netiesa"),"Netaikoma")</f>
        <v>Netaikoma</v>
      </c>
      <c r="F17" s="153" t="str">
        <f>IF(($E$32&gt;0),IF((E28&gt;=E29+$E$32),"Tiesa","Netiesa"),"Netaikoma")</f>
        <v>Netaikoma</v>
      </c>
    </row>
    <row r="18" spans="2:6" ht="15.75" customHeight="1" x14ac:dyDescent="0.25">
      <c r="B18" s="380"/>
      <c r="C18" s="394"/>
      <c r="D18" s="369"/>
      <c r="E18" s="152" t="str">
        <f>IF($E$32=0,"",CONCATENATE(FIXED(E28,1),IF(E28&gt;=E29+$E$32," ≥ "," &lt; "),FIXED(E29,1)," + ",FIXED($E$32,1)," = ",FIXED(E29+$E$32,1)))</f>
        <v/>
      </c>
      <c r="F18" s="143" t="str">
        <f>IF($E$32=0,"",CONCATENATE(FIXED(F28,1),IF(F28&gt;=F29+$E$32," ≥ "," &lt; "),FIXED(F29,1)," + ",FIXED($E$32,1)," = ",FIXED(F29+$E$32,1)))</f>
        <v/>
      </c>
    </row>
    <row r="19" spans="2:6" ht="47.25" customHeight="1" thickBot="1" x14ac:dyDescent="0.3">
      <c r="B19" s="381"/>
      <c r="C19" s="147" t="s">
        <v>176</v>
      </c>
      <c r="D19" s="395"/>
      <c r="E19" s="90" t="str">
        <f>IF(E17="Tiesa","True",IF(E17="Netaikoma","Not applicable","False"))</f>
        <v>Not applicable</v>
      </c>
      <c r="F19" s="125" t="str">
        <f>IF(F17="Tiesa","True",IF(F17="Netaikoma","Not applicable","False"))</f>
        <v>Not applicable</v>
      </c>
    </row>
    <row r="20" spans="2:6" x14ac:dyDescent="0.25">
      <c r="B20" s="379" t="s">
        <v>177</v>
      </c>
      <c r="C20" s="366" t="s">
        <v>178</v>
      </c>
      <c r="D20" s="368"/>
      <c r="E20" s="50" t="str">
        <f>IF(E6="Taip","Netaikoma", IF(OR(E8="Tiesa",E11="Tiesa",E14="Tiesa",E17="Tiesa"),"Taip","Ne"))</f>
        <v>Netaikoma</v>
      </c>
      <c r="F20" s="51" t="str">
        <f>IF(E6="Taip","Netaikoma", IF(OR(F8="Tiesa",F11="Tiesa",F14="Tiesa",F17="Tiesa"),"Taip","Ne"))</f>
        <v>Netaikoma</v>
      </c>
    </row>
    <row r="21" spans="2:6" ht="43.95" customHeight="1" x14ac:dyDescent="0.25">
      <c r="B21" s="380"/>
      <c r="C21" s="367"/>
      <c r="D21" s="369"/>
      <c r="E21" s="139" t="str">
        <f>IF($E$6="Taip","Paskelbtos išskirtinės aplinkybės",IF(E20="Taip",IF(E34=1,CONCATENATE("Tenkinama ",I30,I31,I32,I33," sąlyga"),CONCATENATE("Tenkinamos ", IF(E30=1,CONCATENATE(I30," "),""),IF(E31=1,CONCATENATE(I31," "),""),IF(E32=1,CONCATENATE(I32," "),""),IF(E33=1,CONCATENATE(I33," "),""),"sąlygos")),"Netenkinama nei viena iš sąlygų"))</f>
        <v>Paskelbtos išskirtinės aplinkybės</v>
      </c>
      <c r="F21" s="101" t="str">
        <f>IF($E$6="Taip","Paskelbtos išskirtinės aplinkybės",IF(E20="Taip",IF(E34=1,CONCATENATE("Tenkinama ",I30,I31,I32,I33," sąlyga"),CONCATENATE("Tenkinamos ", IF(E30=1,CONCATENATE(I30," "),""),IF(E31=1,CONCATENATE(I31," "),""),IF(E32=1,CONCATENATE(I32," "),""),IF(E33=1,CONCATENATE(I33," "),""),"sąlygos")),"Netenkinama nei viena iš sąlygų"))</f>
        <v>Paskelbtos išskirtinės aplinkybės</v>
      </c>
    </row>
    <row r="22" spans="2:6" ht="21" customHeight="1" x14ac:dyDescent="0.25">
      <c r="B22" s="380"/>
      <c r="C22" s="396" t="s">
        <v>179</v>
      </c>
      <c r="D22" s="369"/>
      <c r="E22" s="140" t="str">
        <f>IF(E20="Taip","Yes",IF(E20="Netaikoma","Not applicable","False"))</f>
        <v>Not applicable</v>
      </c>
      <c r="F22" s="102" t="str">
        <f>IF(F20="Taip","Yes",IF(F20="Netaikoma","Not applicable","False"))</f>
        <v>Not applicable</v>
      </c>
    </row>
    <row r="23" spans="2:6" ht="28.5" customHeight="1" thickBot="1" x14ac:dyDescent="0.3">
      <c r="B23" s="392"/>
      <c r="C23" s="397"/>
      <c r="D23" s="370"/>
      <c r="E23" s="141" t="str">
        <f>IF($E$6="Taip","Exceptional circumstances",IF(J16="Yes",IF(E33=1,CONCATENATE("Condition ",J29,J30,J31,J32," is valid"),CONCATENATE("Conditions ", IF(E29=1,CONCATENATE(J29," "),""),IF(E30=1,CONCATENATE(J30," "),""),IF(E31=1,CONCATENATE(J31," "),""),IF(E32=1,CONCATENATE(J32," "),""),"are valid")),"None of the conditions is valid"))</f>
        <v>Exceptional circumstances</v>
      </c>
      <c r="F23" s="142" t="str">
        <f>IF($E$6="Taip","Exceptional circumstances",IF(J16="Yes",IF(E33=1,CONCATENATE("Condition ",J29,J30,J31,J32," is valid"),CONCATENATE("Conditions ", IF(E29=1,CONCATENATE(J29," "),""),IF(E30=1,CONCATENATE(J30," "),""),IF(E31=1,CONCATENATE(J31," "),""),IF(E32=1,CONCATENATE(J32," "),""),"are valid")),"None of the conditions is valid"))</f>
        <v>Exceptional circumstances</v>
      </c>
    </row>
    <row r="24" spans="2:6" ht="15.75" customHeight="1" thickTop="1" x14ac:dyDescent="0.25">
      <c r="C24" s="360" t="s">
        <v>180</v>
      </c>
      <c r="D24" s="360"/>
      <c r="E24" s="360"/>
      <c r="F24" s="360"/>
    </row>
    <row r="25" spans="2:6" ht="15.75" customHeight="1" x14ac:dyDescent="0.25">
      <c r="C25" s="378" t="s">
        <v>181</v>
      </c>
      <c r="D25" s="378"/>
      <c r="E25" s="378"/>
      <c r="F25" s="378"/>
    </row>
    <row r="26" spans="2:6" ht="14.4" thickBot="1" x14ac:dyDescent="0.3">
      <c r="C26" s="53" t="s">
        <v>182</v>
      </c>
      <c r="D26" s="53"/>
      <c r="E26" s="13"/>
      <c r="F26" s="13"/>
    </row>
    <row r="27" spans="2:6" ht="14.4" thickBot="1" x14ac:dyDescent="0.3">
      <c r="C27" s="106" t="s">
        <v>183</v>
      </c>
      <c r="D27" s="54" t="s">
        <v>184</v>
      </c>
      <c r="E27" s="361">
        <v>2022</v>
      </c>
      <c r="F27" s="361"/>
    </row>
    <row r="28" spans="2:6" ht="14.4" thickBot="1" x14ac:dyDescent="0.3">
      <c r="D28" s="54" t="s">
        <v>185</v>
      </c>
      <c r="E28" s="56">
        <f>'3. GGbudget'!F30</f>
        <v>-4.6513695399000046</v>
      </c>
      <c r="F28" s="57">
        <f>'3. GGbudget'!H30</f>
        <v>-5.1222783204466662</v>
      </c>
    </row>
    <row r="29" spans="2:6" ht="14.4" thickBot="1" x14ac:dyDescent="0.3">
      <c r="D29" s="54" t="s">
        <v>186</v>
      </c>
      <c r="E29" s="56">
        <f>'3. GGbudget'!E30</f>
        <v>-1.1636836478653441</v>
      </c>
      <c r="F29" s="57">
        <f>'3. GGbudget'!G30</f>
        <v>-1.8598652717072561</v>
      </c>
    </row>
    <row r="30" spans="2:6" ht="14.4" thickBot="1" x14ac:dyDescent="0.3">
      <c r="D30" s="54" t="s">
        <v>187</v>
      </c>
      <c r="E30" s="362">
        <f>'3. GGbudget'!F33</f>
        <v>-1</v>
      </c>
      <c r="F30" s="362"/>
    </row>
    <row r="31" spans="2:6" ht="14.4" thickBot="1" x14ac:dyDescent="0.3">
      <c r="D31" s="54" t="s">
        <v>188</v>
      </c>
      <c r="E31" s="56">
        <f>'2. Macro'!M20</f>
        <v>-0.74900229283476616</v>
      </c>
      <c r="F31" s="57">
        <f>'2. Macro'!M19</f>
        <v>0.65452103691594488</v>
      </c>
    </row>
    <row r="32" spans="2:6" ht="14.4" thickBot="1" x14ac:dyDescent="0.3">
      <c r="D32" s="54" t="s">
        <v>189</v>
      </c>
      <c r="E32" s="365">
        <f>'3. GGbudget'!F34</f>
        <v>0</v>
      </c>
      <c r="F32" s="365"/>
    </row>
    <row r="33" spans="3:9" ht="15" thickBot="1" x14ac:dyDescent="0.35">
      <c r="D33" s="10" t="s">
        <v>50</v>
      </c>
      <c r="G33" s="207" t="s">
        <v>51</v>
      </c>
    </row>
    <row r="34" spans="3:9" ht="15" thickBot="1" x14ac:dyDescent="0.35">
      <c r="C34" s="10"/>
      <c r="D34" s="10" t="s">
        <v>52</v>
      </c>
      <c r="E34" s="314" t="s">
        <v>23</v>
      </c>
      <c r="F34" s="315"/>
      <c r="G34" s="207" t="s">
        <v>53</v>
      </c>
    </row>
    <row r="35" spans="3:9" ht="15" thickBot="1" x14ac:dyDescent="0.35">
      <c r="C35" s="10"/>
      <c r="D35" s="10" t="s">
        <v>54</v>
      </c>
      <c r="E35" s="316" t="s">
        <v>24</v>
      </c>
      <c r="F35" s="317"/>
      <c r="G35" s="233" t="s">
        <v>55</v>
      </c>
    </row>
    <row r="36" spans="3:9" s="12" customFormat="1" ht="14.4" x14ac:dyDescent="0.3">
      <c r="C36" s="58" t="s">
        <v>190</v>
      </c>
      <c r="D36" s="59" t="s">
        <v>191</v>
      </c>
      <c r="E36" s="137">
        <f>J13*1</f>
        <v>0</v>
      </c>
      <c r="F36" s="60"/>
    </row>
    <row r="37" spans="3:9" s="12" customFormat="1" ht="14.4" x14ac:dyDescent="0.3">
      <c r="C37" s="58" t="s">
        <v>192</v>
      </c>
      <c r="D37" s="59" t="s">
        <v>193</v>
      </c>
      <c r="E37" s="137">
        <f>J15*1</f>
        <v>0</v>
      </c>
      <c r="F37" s="60"/>
    </row>
    <row r="38" spans="3:9" s="12" customFormat="1" ht="14.4" x14ac:dyDescent="0.3">
      <c r="C38" s="58" t="s">
        <v>194</v>
      </c>
      <c r="D38" s="59" t="s">
        <v>195</v>
      </c>
      <c r="E38" s="137">
        <f>J17*1</f>
        <v>0</v>
      </c>
      <c r="F38" s="60"/>
      <c r="G38" s="61"/>
    </row>
    <row r="39" spans="3:9" s="12" customFormat="1" ht="14.4" x14ac:dyDescent="0.3">
      <c r="C39" s="58" t="s">
        <v>196</v>
      </c>
      <c r="D39" s="59" t="s">
        <v>197</v>
      </c>
      <c r="E39" s="137">
        <f>J19*1</f>
        <v>0</v>
      </c>
      <c r="F39" s="60"/>
      <c r="G39" s="61"/>
    </row>
    <row r="40" spans="3:9" s="12" customFormat="1" ht="14.4" x14ac:dyDescent="0.3">
      <c r="E40" s="137">
        <f>SUM(E36:E39)</f>
        <v>0</v>
      </c>
      <c r="F40" s="60"/>
    </row>
    <row r="41" spans="3:9" ht="14.4" x14ac:dyDescent="0.3">
      <c r="C41" s="23"/>
      <c r="D41" s="23"/>
      <c r="E41" s="138"/>
      <c r="F41" s="23"/>
      <c r="G41" s="12"/>
      <c r="H41" s="12"/>
      <c r="I41" s="12"/>
    </row>
    <row r="42" spans="3:9" x14ac:dyDescent="0.25">
      <c r="C42" s="23"/>
      <c r="D42" s="23"/>
      <c r="E42" s="23"/>
      <c r="F42" s="23"/>
      <c r="G42" s="12"/>
      <c r="H42" s="12"/>
      <c r="I42" s="12"/>
    </row>
    <row r="43" spans="3:9" x14ac:dyDescent="0.25">
      <c r="C43" s="25"/>
      <c r="D43" s="23"/>
      <c r="E43" s="23"/>
      <c r="F43" s="23"/>
    </row>
    <row r="44" spans="3:9" x14ac:dyDescent="0.25">
      <c r="C44" s="25"/>
      <c r="D44" s="23"/>
      <c r="E44" s="23"/>
      <c r="F44" s="23"/>
    </row>
    <row r="45" spans="3:9" x14ac:dyDescent="0.25">
      <c r="C45" s="25"/>
      <c r="D45" s="25"/>
      <c r="E45" s="25"/>
      <c r="F45" s="25"/>
    </row>
  </sheetData>
  <mergeCells count="31">
    <mergeCell ref="B20:B23"/>
    <mergeCell ref="C17:C18"/>
    <mergeCell ref="D17:D19"/>
    <mergeCell ref="B17:B19"/>
    <mergeCell ref="C14:C15"/>
    <mergeCell ref="D14:D16"/>
    <mergeCell ref="B14:B16"/>
    <mergeCell ref="C22:C23"/>
    <mergeCell ref="B11:B13"/>
    <mergeCell ref="B1:C1"/>
    <mergeCell ref="B3:F3"/>
    <mergeCell ref="E4:F4"/>
    <mergeCell ref="C8:C9"/>
    <mergeCell ref="D8:D10"/>
    <mergeCell ref="B8:B10"/>
    <mergeCell ref="B5:D5"/>
    <mergeCell ref="B6:B7"/>
    <mergeCell ref="E35:F35"/>
    <mergeCell ref="C24:F24"/>
    <mergeCell ref="E27:F27"/>
    <mergeCell ref="E30:F30"/>
    <mergeCell ref="E6:F6"/>
    <mergeCell ref="E32:F32"/>
    <mergeCell ref="E34:F34"/>
    <mergeCell ref="C20:C21"/>
    <mergeCell ref="D20:D23"/>
    <mergeCell ref="C11:C12"/>
    <mergeCell ref="D11:D13"/>
    <mergeCell ref="E7:F7"/>
    <mergeCell ref="D6:D7"/>
    <mergeCell ref="C25:F25"/>
  </mergeCells>
  <hyperlinks>
    <hyperlink ref="B1" location="Content!A1" display="↖ atgal į turinį" xr:uid="{BE79719A-0CEF-43F6-8533-8159F8E4F378}"/>
    <hyperlink ref="B1:C1" location="Content!A1" display="↖ atgal į turinį " xr:uid="{2E7372A4-D025-4044-906F-E47FE9BAC84E}"/>
  </hyperlink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5463EA-6BAA-42B9-8D41-2248E3036D0F}">
  <sheetPr codeName="Lapas6">
    <tabColor rgb="FF47ABD9"/>
  </sheetPr>
  <dimension ref="A1:O79"/>
  <sheetViews>
    <sheetView showGridLines="0" showRowColHeaders="0" zoomScaleNormal="100" workbookViewId="0"/>
  </sheetViews>
  <sheetFormatPr defaultColWidth="10" defaultRowHeight="13.8" x14ac:dyDescent="0.25"/>
  <cols>
    <col min="1" max="1" width="3.6640625" style="1" customWidth="1"/>
    <col min="2" max="2" width="5.5546875" style="108" customWidth="1"/>
    <col min="3" max="3" width="101.88671875" style="1" customWidth="1"/>
    <col min="4" max="4" width="14.5546875" style="1" customWidth="1"/>
    <col min="5" max="5" width="21.44140625" style="1" customWidth="1"/>
    <col min="6" max="7" width="17" style="1" customWidth="1"/>
    <col min="8" max="8" width="8.5546875" style="1" customWidth="1"/>
    <col min="9" max="16384" width="10" style="1"/>
  </cols>
  <sheetData>
    <row r="1" spans="1:10" x14ac:dyDescent="0.25">
      <c r="A1" s="2"/>
      <c r="B1" s="382" t="s">
        <v>19</v>
      </c>
      <c r="C1" s="382"/>
    </row>
    <row r="2" spans="1:10" ht="14.4" thickBot="1" x14ac:dyDescent="0.3">
      <c r="A2" s="12" t="s">
        <v>20</v>
      </c>
    </row>
    <row r="3" spans="1:10" ht="39.75" customHeight="1" thickTop="1" thickBot="1" x14ac:dyDescent="0.3">
      <c r="B3" s="305" t="s">
        <v>325</v>
      </c>
      <c r="C3" s="383"/>
      <c r="D3" s="383"/>
      <c r="E3" s="383"/>
      <c r="F3" s="383"/>
      <c r="G3" s="384"/>
    </row>
    <row r="4" spans="1:10" ht="30" customHeight="1" thickBot="1" x14ac:dyDescent="0.3">
      <c r="B4" s="104" t="s">
        <v>198</v>
      </c>
      <c r="C4" s="105" t="s">
        <v>199</v>
      </c>
      <c r="D4" s="414" t="s">
        <v>157</v>
      </c>
      <c r="E4" s="415"/>
      <c r="F4" s="416" t="s">
        <v>158</v>
      </c>
      <c r="G4" s="417"/>
      <c r="H4" s="223"/>
    </row>
    <row r="5" spans="1:10" ht="33.75" customHeight="1" thickBot="1" x14ac:dyDescent="0.3">
      <c r="B5" s="387" t="s">
        <v>159</v>
      </c>
      <c r="C5" s="388"/>
      <c r="D5" s="388"/>
      <c r="E5" s="389"/>
      <c r="F5" s="128" t="s">
        <v>23</v>
      </c>
      <c r="G5" s="129" t="s">
        <v>24</v>
      </c>
      <c r="H5" s="5"/>
      <c r="I5" s="5"/>
      <c r="J5" s="5"/>
    </row>
    <row r="6" spans="1:10" ht="30" customHeight="1" x14ac:dyDescent="0.25">
      <c r="B6" s="424" t="s">
        <v>200</v>
      </c>
      <c r="C6" s="371" t="s">
        <v>201</v>
      </c>
      <c r="D6" s="418"/>
      <c r="E6" s="419"/>
      <c r="F6" s="100" t="str">
        <f>IF(F59+eps&lt;AVERAGE('2. Macro'!G33:K33)+2,"Tiesa","Netiesa")</f>
        <v>Netiesa</v>
      </c>
      <c r="G6" s="63" t="str">
        <f>IF(F59+eps&lt;AVERAGE('2. Macro'!G33:K33)+2,"Tiesa","Netiesa")</f>
        <v>Netiesa</v>
      </c>
      <c r="H6" s="5"/>
      <c r="I6" s="5"/>
      <c r="J6" s="5"/>
    </row>
    <row r="7" spans="1:10" ht="19.5" customHeight="1" x14ac:dyDescent="0.25">
      <c r="B7" s="425"/>
      <c r="C7" s="372"/>
      <c r="D7" s="420"/>
      <c r="E7" s="421"/>
      <c r="F7" s="100" t="str">
        <f>CONCATENATE(FIXED(F59,1),IF(F6="Tiesa"," &lt; "," ≥ "),FIXED(AVERAGE('2. Macro'!H33:L33)+2,1))</f>
        <v>11,9 ≥ 4,9</v>
      </c>
      <c r="G7" s="122" t="str">
        <f>CONCATENATE(FIXED(G59,1),IF(G6="Tiesa"," &lt; "," ≥ "),FIXED(AVERAGE('2. Macro'!H33:L33)+2,1))</f>
        <v>11,9 ≥ 4,9</v>
      </c>
      <c r="H7" s="5"/>
      <c r="I7" s="5"/>
      <c r="J7" s="5"/>
    </row>
    <row r="8" spans="1:10" ht="34.5" customHeight="1" thickBot="1" x14ac:dyDescent="0.3">
      <c r="B8" s="426"/>
      <c r="C8" s="146" t="s">
        <v>202</v>
      </c>
      <c r="D8" s="422"/>
      <c r="E8" s="423"/>
      <c r="F8" s="148" t="str">
        <f>IF(F6="Tiesa","True","False")</f>
        <v>False</v>
      </c>
      <c r="G8" s="115" t="str">
        <f>IF(G6="Tiesa","True","False")</f>
        <v>False</v>
      </c>
      <c r="H8" s="5"/>
      <c r="I8" s="5"/>
      <c r="J8" s="5"/>
    </row>
    <row r="9" spans="1:10" ht="30" customHeight="1" thickBot="1" x14ac:dyDescent="0.3">
      <c r="B9" s="427" t="s">
        <v>203</v>
      </c>
      <c r="C9" s="402" t="s">
        <v>204</v>
      </c>
      <c r="D9" s="330" t="s">
        <v>296</v>
      </c>
      <c r="E9" s="330"/>
      <c r="F9" s="62" t="str">
        <f>IF('3. GGbudget'!F8&gt;='3. GGbudget'!E8+1,"Tiesa","Netiesa")</f>
        <v>Netiesa</v>
      </c>
      <c r="G9" s="63" t="str">
        <f>IF('3. GGbudget'!H8&gt;='3. GGbudget'!G8+1,"Tiesa","Netiesa")</f>
        <v>Netiesa</v>
      </c>
    </row>
    <row r="10" spans="1:10" ht="15" customHeight="1" thickBot="1" x14ac:dyDescent="0.3">
      <c r="B10" s="427"/>
      <c r="C10" s="403"/>
      <c r="D10" s="330"/>
      <c r="E10" s="330"/>
      <c r="F10" s="100" t="str">
        <f>CONCATENATE(FIXED('3. GGbudget'!F8-'3. GGbudget'!E8,1),IF(F9="Tiesa"," ≥ "," &lt; "),FIXED(1,1))</f>
        <v>-3,9 &lt; 1,0</v>
      </c>
      <c r="G10" s="122" t="str">
        <f>CONCATENATE(FIXED('3. GGbudget'!H8-'3. GGbudget'!G8,1),IF(G9="Tiesa"," ≥ "," &lt; "),FIXED(1,1))</f>
        <v>-3,9 &lt; 1,0</v>
      </c>
    </row>
    <row r="11" spans="1:10" ht="30" customHeight="1" thickBot="1" x14ac:dyDescent="0.3">
      <c r="B11" s="427"/>
      <c r="C11" s="187" t="s">
        <v>205</v>
      </c>
      <c r="D11" s="330"/>
      <c r="E11" s="330"/>
      <c r="F11" s="135" t="str">
        <f>IF(F9="Tiesa","True","False")</f>
        <v>False</v>
      </c>
      <c r="G11" s="115" t="str">
        <f>IF(G9="Tiesa","True","False")</f>
        <v>False</v>
      </c>
    </row>
    <row r="12" spans="1:10" ht="14.4" thickBot="1" x14ac:dyDescent="0.3">
      <c r="B12" s="427" t="s">
        <v>299</v>
      </c>
      <c r="C12" s="443" t="s">
        <v>312</v>
      </c>
      <c r="D12" s="445" t="s">
        <v>304</v>
      </c>
      <c r="E12" s="446"/>
      <c r="F12" s="280" t="str">
        <f>IF(('3. GGbudget'!F8&gt;='3. GGbudget'!E8+1)*(F53&gt;=F54+0.5),"Tiesa","Netiesa")</f>
        <v>Netiesa</v>
      </c>
      <c r="G12" s="281" t="str">
        <f>IF(('3. GGbudget'!F8&gt;='3. GGbudget'!E8+1)*(F53&gt;=F54+0.5),"Tiesa","Netiesa")</f>
        <v>Netiesa</v>
      </c>
    </row>
    <row r="13" spans="1:10" ht="27" thickBot="1" x14ac:dyDescent="0.3">
      <c r="B13" s="427"/>
      <c r="C13" s="444"/>
      <c r="D13" s="447"/>
      <c r="E13" s="448"/>
      <c r="F13" s="287" t="str">
        <f>CONCATENATE(FIXED('3. GGbudget'!F8-'3. GGbudget'!E8,1),IF(F12="Tiesa"," ≥ "," &lt; "),FIXED(1,1)," &amp;
 ",FIXED(F53,1),IF(F53&gt;=F54+0.5," ≥ "," &lt; "),FIXED(F54,1),"+",FIXED(0.5,1))</f>
        <v>-3,9 &lt; 1,0 &amp;
 6,3 ≥ 2,9+0,5</v>
      </c>
      <c r="G13" s="284" t="str">
        <f>CONCATENATE(FIXED('3. GGbudget'!G8-'3. GGbudget'!F8,1),IF(G12="Tiesa"," ≥ "," &lt; "),FIXED(1,1)," &amp;
 ",FIXED(G53,1),IF(G53&gt;=G54+0.5," ≥ "," &lt; "),FIXED(G54,1),"+",FIXED(0.5,1))</f>
        <v>3,9 &lt; 1,0 &amp;
 6,3 ≥ 2,9+0,5</v>
      </c>
    </row>
    <row r="14" spans="1:10" ht="27" thickBot="1" x14ac:dyDescent="0.3">
      <c r="B14" s="427"/>
      <c r="C14" s="288" t="s">
        <v>309</v>
      </c>
      <c r="D14" s="449"/>
      <c r="E14" s="450"/>
      <c r="F14" s="285" t="str">
        <f>IF(F12="Tiesa","True","False")</f>
        <v>False</v>
      </c>
      <c r="G14" s="286" t="str">
        <f>IF(G12="Tiesa","True","False")</f>
        <v>False</v>
      </c>
    </row>
    <row r="15" spans="1:10" ht="27.75" customHeight="1" thickBot="1" x14ac:dyDescent="0.3">
      <c r="B15" s="427" t="s">
        <v>206</v>
      </c>
      <c r="C15" s="402" t="s">
        <v>207</v>
      </c>
      <c r="D15" s="428"/>
      <c r="E15" s="428"/>
      <c r="F15" s="64" t="str">
        <f>IF(ROUND(AVERAGE('2. Macro'!H37:L37),1)&gt;=0.1,"Tiesa","Netiesa")</f>
        <v>Netiesa</v>
      </c>
      <c r="G15" s="65" t="str">
        <f>IF(ROUND(AVERAGE('2. Macro'!H36:L36),1)&gt;=0.1,"Tiesa","Netiesa")</f>
        <v>Netiesa</v>
      </c>
    </row>
    <row r="16" spans="1:10" ht="15" customHeight="1" thickBot="1" x14ac:dyDescent="0.3">
      <c r="B16" s="427"/>
      <c r="C16" s="403"/>
      <c r="D16" s="428"/>
      <c r="E16" s="428"/>
      <c r="F16" s="131" t="str">
        <f>CONCATENATE(FIXED(AVERAGE('2. Macro'!H37:L37),1),IF(F15="Tiesa"," ≥ "," &lt; "),FIXED(0.1,1))</f>
        <v>-1,4 &lt; 0,1</v>
      </c>
      <c r="G16" s="132" t="str">
        <f>CONCATENATE(FIXED(AVERAGE('2. Macro'!H36:L36),1),IF(G15="Tiesa"," ≥ "," &lt; "),FIXED(0.1,1))</f>
        <v>-1,4 &lt; 0,1</v>
      </c>
    </row>
    <row r="17" spans="2:8" ht="29.4" thickBot="1" x14ac:dyDescent="0.3">
      <c r="B17" s="427"/>
      <c r="C17" s="187" t="s">
        <v>208</v>
      </c>
      <c r="D17" s="428"/>
      <c r="E17" s="428"/>
      <c r="F17" s="149" t="str">
        <f>IF(F15="Tiesa","True","False")</f>
        <v>False</v>
      </c>
      <c r="G17" s="150" t="str">
        <f>IF(G15="Tiesa","True","False")</f>
        <v>False</v>
      </c>
    </row>
    <row r="18" spans="2:8" ht="36.75" customHeight="1" x14ac:dyDescent="0.25">
      <c r="B18" s="424" t="s">
        <v>209</v>
      </c>
      <c r="C18" s="402" t="s">
        <v>210</v>
      </c>
      <c r="D18" s="418" t="s">
        <v>319</v>
      </c>
      <c r="E18" s="419"/>
      <c r="F18" s="62" t="str">
        <f>IF(ROUND(F67,1)&gt;=F66,"Tiesa","Netiesa")</f>
        <v>Netiesa</v>
      </c>
      <c r="G18" s="63" t="str">
        <f>IF(ROUND(G67,1)&gt;=G66,"Tiesa","Netiesa")</f>
        <v>Netiesa</v>
      </c>
      <c r="H18" s="96"/>
    </row>
    <row r="19" spans="2:8" ht="18.75" customHeight="1" x14ac:dyDescent="0.25">
      <c r="B19" s="425"/>
      <c r="C19" s="403"/>
      <c r="D19" s="420"/>
      <c r="E19" s="421"/>
      <c r="F19" s="131" t="str">
        <f>CONCATENATE(FIXED(F67,1),IF(F15="Tiesa"," ≥ "," &lt; "),FIXED(F66,1))</f>
        <v>-4,9 &lt; -3,3</v>
      </c>
      <c r="G19" s="122" t="str">
        <f>CONCATENATE(FIXED(G67,1),IF(G15="Tiesa"," ≥ "," &lt; "),FIXED(G66,1))</f>
        <v>-4,9 &lt; -3,3</v>
      </c>
    </row>
    <row r="20" spans="2:8" ht="43.8" thickBot="1" x14ac:dyDescent="0.3">
      <c r="B20" s="426"/>
      <c r="C20" s="146" t="s">
        <v>211</v>
      </c>
      <c r="D20" s="422"/>
      <c r="E20" s="423"/>
      <c r="F20" s="135" t="str">
        <f>IF(F18="Tiesa","True","False")</f>
        <v>False</v>
      </c>
      <c r="G20" s="115" t="str">
        <f>IF(G18="Tiesa","True","False")</f>
        <v>False</v>
      </c>
    </row>
    <row r="21" spans="2:8" ht="44.25" customHeight="1" x14ac:dyDescent="0.25">
      <c r="B21" s="424" t="s">
        <v>212</v>
      </c>
      <c r="C21" s="402" t="s">
        <v>213</v>
      </c>
      <c r="D21" s="418" t="s">
        <v>214</v>
      </c>
      <c r="E21" s="419"/>
      <c r="F21" s="62" t="str">
        <f>IF(F60+eps&lt;0,"Tiesa","Netiesa")</f>
        <v>Tiesa</v>
      </c>
      <c r="G21" s="63" t="str">
        <f>IF(G60+eps&lt;0,"Tiesa","Netiesa")</f>
        <v>Netiesa</v>
      </c>
    </row>
    <row r="22" spans="2:8" ht="20.25" customHeight="1" x14ac:dyDescent="0.25">
      <c r="B22" s="425"/>
      <c r="C22" s="403"/>
      <c r="D22" s="420"/>
      <c r="E22" s="421"/>
      <c r="F22" s="131" t="str">
        <f>CONCATENATE(FIXED(F60,1),IF(F21="Tiesa"," &lt; "," ≥ "),FIXED(0,1))</f>
        <v>-0,7 &lt; 0,0</v>
      </c>
      <c r="G22" s="122" t="str">
        <f>CONCATENATE(FIXED(G60,1),IF(G21="Tiesa"," &lt; "," ≥ "),FIXED(0,1))</f>
        <v>0,7 ≥ 0,0</v>
      </c>
    </row>
    <row r="23" spans="2:8" ht="43.8" thickBot="1" x14ac:dyDescent="0.3">
      <c r="B23" s="426"/>
      <c r="C23" s="146" t="s">
        <v>215</v>
      </c>
      <c r="D23" s="422"/>
      <c r="E23" s="423"/>
      <c r="F23" s="135" t="str">
        <f>IF(F21="Tiesa","True","False")</f>
        <v>True</v>
      </c>
      <c r="G23" s="115" t="str">
        <f>IF(G21="Tiesa","True","False")</f>
        <v>False</v>
      </c>
    </row>
    <row r="24" spans="2:8" ht="26.4" x14ac:dyDescent="0.25">
      <c r="B24" s="424" t="s">
        <v>300</v>
      </c>
      <c r="C24" s="279" t="s">
        <v>301</v>
      </c>
      <c r="D24" s="445" t="s">
        <v>302</v>
      </c>
      <c r="E24" s="446"/>
      <c r="F24" s="280" t="str">
        <f>IF((F60+eps&lt;0)*($F$61&lt;=3),"Tiesa","Netiesa")</f>
        <v>Netiesa</v>
      </c>
      <c r="G24" s="281" t="str">
        <f>IF((G60+eps&lt;0)*($F$61&lt;=3),"Tiesa","Netiesa")</f>
        <v>Netiesa</v>
      </c>
    </row>
    <row r="25" spans="2:8" ht="26.4" x14ac:dyDescent="0.25">
      <c r="B25" s="425"/>
      <c r="C25" s="282"/>
      <c r="D25" s="447"/>
      <c r="E25" s="448"/>
      <c r="F25" s="283" t="str">
        <f>CONCATENATE(ROUND(F60,1),IF(F60&lt;0," &lt; "," ≥ "),FIXED(0,1), " &amp;
", FIXED($F$61,1),IF($F$61&gt;3," &gt; "," ≤ "), FIXED(3,1))</f>
        <v>-0,7 &lt; 0,0 &amp;
9,8 &gt; 3,0</v>
      </c>
      <c r="G25" s="284" t="str">
        <f>CONCATENATE(ROUND(G60,1),IF(G60&lt;0," &lt; "," ≥ "),FIXED(0,1), " &amp;
", FIXED($F$61,1),IF($F$61&gt;3," &gt; "," ≤ "), FIXED(3,1))</f>
        <v>0,7 ≥ 0,0 &amp;
9,8 &gt; 3,0</v>
      </c>
      <c r="H25" s="26"/>
    </row>
    <row r="26" spans="2:8" ht="14.4" thickBot="1" x14ac:dyDescent="0.3">
      <c r="B26" s="426"/>
      <c r="C26" s="282" t="s">
        <v>308</v>
      </c>
      <c r="D26" s="449"/>
      <c r="E26" s="450"/>
      <c r="F26" s="285" t="str">
        <f>IF(F24="Tiesa","True","False")</f>
        <v>False</v>
      </c>
      <c r="G26" s="286" t="str">
        <f>IF(G24="Tiesa","True","False")</f>
        <v>False</v>
      </c>
    </row>
    <row r="27" spans="2:8" ht="21.75" customHeight="1" x14ac:dyDescent="0.25">
      <c r="B27" s="379" t="s">
        <v>216</v>
      </c>
      <c r="C27" s="366" t="s">
        <v>217</v>
      </c>
      <c r="D27" s="404"/>
      <c r="E27" s="405"/>
      <c r="F27" s="50" t="str">
        <f>+IF((OR(F6="Tiesa",F9="Tiesa",F15="Tiesa",F21="Tiesa")),"Taip","Ne")</f>
        <v>Taip</v>
      </c>
      <c r="G27" s="51" t="str">
        <f>+IF((OR(G6="Tiesa",G9="Tiesa",G15="Tiesa",G21="Tiesa")),"Taip","Ne")</f>
        <v>Ne</v>
      </c>
      <c r="H27" s="66"/>
    </row>
    <row r="28" spans="2:8" ht="39" customHeight="1" x14ac:dyDescent="0.25">
      <c r="B28" s="380"/>
      <c r="C28" s="367"/>
      <c r="D28" s="406"/>
      <c r="E28" s="407"/>
      <c r="F28" s="139" t="str">
        <f>IF(F27="Taip",CONCATENATE("Susidaro ", IF(F73=1,CONCATENATE(H73," "),""),IF(F74=1,CONCATENATE(H74," "),""),IF(F75=1,CONCATENATE(H75," "),""),IF(F76=1,CONCATENATE(H76," "),""),IF(F77=1,CONCATENATE(H77," "),""),IF(F78=1,"aplinkybė","aplinkybės")),"Išimčių nėra")</f>
        <v>Susidaro A5 aplinkybė</v>
      </c>
      <c r="G28" s="101" t="str">
        <f>IF(G27="Taip",CONCATENATE("Susidaro ", IF(G73=1,CONCATENATE(I73," "),""),IF(G74=1,CONCATENATE(I74," "),""),IF(G75=1,CONCATENATE(I75," "),""),IF(G76=1,CONCATENATE(I76," "),""),IF(G77=1,CONCATENATE(I77," "),""),IF(G78=1,"aplinkybė","aplinkybės")),"Išimčių nėra")</f>
        <v>Išimčių nėra</v>
      </c>
    </row>
    <row r="29" spans="2:8" ht="18" customHeight="1" x14ac:dyDescent="0.25">
      <c r="B29" s="380"/>
      <c r="C29" s="396" t="s">
        <v>218</v>
      </c>
      <c r="D29" s="406"/>
      <c r="E29" s="407"/>
      <c r="F29" s="160" t="str">
        <f>IF(F27="Taip","Yes","No")</f>
        <v>Yes</v>
      </c>
      <c r="G29" s="161" t="str">
        <f>IF(G27="Taip","Yes","No")</f>
        <v>No</v>
      </c>
    </row>
    <row r="30" spans="2:8" ht="55.5" customHeight="1" thickBot="1" x14ac:dyDescent="0.3">
      <c r="B30" s="381"/>
      <c r="C30" s="410"/>
      <c r="D30" s="408"/>
      <c r="E30" s="409"/>
      <c r="F30" s="123" t="str">
        <f>IF(F29="Yes",CONCATENATE(IF(F78=1,"Escape clause ","Escape clauses "), IF(F73=1,CONCATENATE(H73," "),""),IF(F74=1,CONCATENATE(H74," "),""),IF(F75=1,CONCATENATE(H75," "),""),IF(F76=1,CONCATENATE(H76," "),""),IF(F77=1,CONCATENATE(H77," "),""),"emerge"),"No escape clauses emerge")</f>
        <v>Escape clause A5 emerge</v>
      </c>
      <c r="G30" s="102" t="str">
        <f>IF(G29="Yes",CONCATENATE(IF(G78=1,"Escape clause ","Escape clauses "), IF(G73=1,CONCATENATE(I73," "),""),IF(G74=1,CONCATENATE(I74," "),""),IF(G75=1,CONCATENATE(I75," "),""),IF(G76=1,CONCATENATE(I76," "),""),IF(G77=1,CONCATENATE(I77," "),""),"emerge"),"No escape clauses emerge")</f>
        <v>No escape clauses emerge</v>
      </c>
    </row>
    <row r="31" spans="2:8" ht="33.75" customHeight="1" thickBot="1" x14ac:dyDescent="0.35">
      <c r="B31" s="127" t="s">
        <v>198</v>
      </c>
      <c r="C31" s="218" t="s">
        <v>219</v>
      </c>
      <c r="D31" s="400" t="s">
        <v>220</v>
      </c>
      <c r="E31" s="401"/>
      <c r="F31" s="398" t="s">
        <v>158</v>
      </c>
      <c r="G31" s="399"/>
      <c r="H31" s="69"/>
    </row>
    <row r="32" spans="2:8" ht="17.399999999999999" customHeight="1" x14ac:dyDescent="0.25">
      <c r="B32" s="379" t="s">
        <v>221</v>
      </c>
      <c r="C32" s="402" t="s">
        <v>313</v>
      </c>
      <c r="D32" s="179"/>
      <c r="E32" s="180"/>
      <c r="F32" s="67" t="str">
        <f>IF((F27="Taip"),"",IF(AVERAGE('2. Macro'!H36:L36)+eps&lt;0,"Tiesa","Netiesa"))</f>
        <v/>
      </c>
      <c r="G32" s="68" t="str">
        <f>IF((G27="Taip"),"",IF(AVERAGE('2. Macro'!H36:L36)+eps&lt;0,"Tiesa","Netiesa"))</f>
        <v>Tiesa</v>
      </c>
    </row>
    <row r="33" spans="2:7" ht="15.75" customHeight="1" x14ac:dyDescent="0.25">
      <c r="B33" s="380"/>
      <c r="C33" s="403"/>
      <c r="D33" s="181" t="s">
        <v>222</v>
      </c>
      <c r="E33" s="182"/>
      <c r="F33" s="152" t="str">
        <f>IF((F27="Taip"),"",CONCATENATE(FIXED(AVERAGE('2. Macro'!H36:L36),1),IF(F32="Tiesa"," &lt; "," ≥ "),FIXED(0,1)))</f>
        <v/>
      </c>
      <c r="G33" s="158" t="str">
        <f>IF((G27="Taip"),"",CONCATENATE(FIXED(AVERAGE('2. Macro'!H36:L36),1),IF(G32="Tiesa"," &lt; "," ≥ "),FIXED(0,1)))</f>
        <v>-1,4 &lt; 0,0</v>
      </c>
    </row>
    <row r="34" spans="2:7" ht="18" customHeight="1" thickBot="1" x14ac:dyDescent="0.3">
      <c r="B34" s="380"/>
      <c r="C34" s="403"/>
      <c r="D34" s="183"/>
      <c r="E34" s="184"/>
      <c r="F34" s="178" t="str">
        <f>IF(F29="Yes","",IF(F32="Tiesa","True","False"))</f>
        <v/>
      </c>
      <c r="G34" s="126" t="str">
        <f>IF(G29="Yes","",IF(G32="Tiesa","True","False"))</f>
        <v>True</v>
      </c>
    </row>
    <row r="35" spans="2:7" ht="24" customHeight="1" x14ac:dyDescent="0.25">
      <c r="B35" s="380"/>
      <c r="C35" s="403"/>
      <c r="D35" s="185"/>
      <c r="E35" s="182"/>
      <c r="F35" s="198" t="str">
        <f>IF(OR(F27="Taip",F32="Netiesa"),"Netaikoma", IF(F47-$F$49&lt;=(F48-$F$50)*(1+0.5*F65),"Tiesa","Netiesa"))</f>
        <v>Netaikoma</v>
      </c>
      <c r="G35" s="158" t="str">
        <f>IF(OR(G27="Taip",G32="Netiesa", '4. SurplusGG'!E6="Taip"),"Netaikoma", IF(G47-$F$49&lt;=(G48-$F$50)*(1+0.5*G65),"Tiesa","Netiesa"))</f>
        <v>Netaikoma</v>
      </c>
    </row>
    <row r="36" spans="2:7" ht="69" customHeight="1" x14ac:dyDescent="0.25">
      <c r="B36" s="380"/>
      <c r="C36" s="403"/>
      <c r="D36" s="185"/>
      <c r="E36" s="182"/>
      <c r="F36" s="152" t="str">
        <f>IF(F27="Taip",IF(F78=1,"Susidarė viena iš KĮ numatytų netaikymo aplinkybių","Susidarė KĮ numatytos netaikymo aplinkybės"),CONCATENATE(ROUND(($F$47-F49)/($F$48-F50),3),IF(F35="Tiesa"," ≤ "," &gt; "), ROUND(1+0.5*F65,3)))</f>
        <v>Susidarė viena iš KĮ numatytų netaikymo aplinkybių</v>
      </c>
      <c r="G36" s="197" t="str">
        <f>IF(G27="Taip", IF(G78=1,"Susidarė viena iš KĮ numatytų netaikymo aplinkybių","Susidarė KĮ numatytos netaikymo aplinkybės"),IF('4. SurplusGG'!E6="Taip","Paskelbtos išskirtinės aplinkybės",CONCATENATE(ROUND(($G$47-F49)/($G$48-F50),3),IF(G35="Tiesa"," ≤ "," &gt; "), ROUND(1+0.5*G65,3))))</f>
        <v>Paskelbtos išskirtinės aplinkybės</v>
      </c>
    </row>
    <row r="37" spans="2:7" ht="21" customHeight="1" x14ac:dyDescent="0.25">
      <c r="B37" s="380"/>
      <c r="C37" s="411" t="s">
        <v>314</v>
      </c>
      <c r="D37" s="185"/>
      <c r="E37" s="182"/>
      <c r="F37" s="154" t="str">
        <f>IF(F35="Netaikoma","Not applied",IF(F35="Tiesa","True","False"))</f>
        <v>Not applied</v>
      </c>
      <c r="G37" s="177" t="str">
        <f>IF(G35="Netaikoma","Not applied",IF(G35="Tiesa","True","False"))</f>
        <v>Not applied</v>
      </c>
    </row>
    <row r="38" spans="2:7" ht="67.5" customHeight="1" thickBot="1" x14ac:dyDescent="0.3">
      <c r="B38" s="381"/>
      <c r="C38" s="412"/>
      <c r="D38" s="183"/>
      <c r="E38" s="184"/>
      <c r="F38" s="186" t="str">
        <f>IF(F29="Yes",IF(F78=1,"CL escape clause emerged","CL escape clauses emerged"),"")</f>
        <v>CL escape clause emerged</v>
      </c>
      <c r="G38" s="269" t="str">
        <f>IF(G29="Yes",IF(G78=1,"CL escape clause emerged","CL escape clauses emerged"),IF('4. SurplusGG'!E6="Taip","Exceptional circumstances",""))</f>
        <v>Exceptional circumstances</v>
      </c>
    </row>
    <row r="39" spans="2:7" ht="39.6" x14ac:dyDescent="0.25">
      <c r="B39" s="379" t="s">
        <v>306</v>
      </c>
      <c r="C39" s="441" t="s">
        <v>305</v>
      </c>
      <c r="D39" s="270"/>
      <c r="E39" s="271"/>
      <c r="F39" s="272" t="str">
        <f>+IF((OR(F6="Tiesa",F12="Tiesa",F15="Tiesa",F18="Tiesa",F24="Tiesa")),"Taip","FDĮ netaikymo aplinkybės nesusidaro")</f>
        <v>FDĮ netaikymo aplinkybės nesusidaro</v>
      </c>
      <c r="G39" s="273" t="str">
        <f>+IF((OR(G6="Tiesa",G12="Tiesa",G15="Tiesa",G18="Tiesa",G24="Tiesa")),"Taip","FDĮ netaikymo aplinkybės nesusidaro")</f>
        <v>FDĮ netaikymo aplinkybės nesusidaro</v>
      </c>
    </row>
    <row r="40" spans="2:7" ht="39.6" x14ac:dyDescent="0.25">
      <c r="B40" s="380"/>
      <c r="C40" s="442"/>
      <c r="D40" s="270"/>
      <c r="E40" s="271"/>
      <c r="F40" s="272" t="str">
        <f>G36</f>
        <v>Paskelbtos išskirtinės aplinkybės</v>
      </c>
      <c r="G40" s="273" t="str">
        <f>G36</f>
        <v>Paskelbtos išskirtinės aplinkybės</v>
      </c>
    </row>
    <row r="41" spans="2:7" ht="26.4" x14ac:dyDescent="0.25">
      <c r="B41" s="380"/>
      <c r="C41" s="274" t="s">
        <v>307</v>
      </c>
      <c r="D41" s="270"/>
      <c r="E41" s="271"/>
      <c r="F41" s="275" t="str">
        <f>IF(F39="FDĮ netaikymo aplinkybės nesusidaro", "No FDL escape clauses emerge","FDL escape clause emerged")</f>
        <v>No FDL escape clauses emerge</v>
      </c>
      <c r="G41" s="276" t="str">
        <f>IF(G39="FDĮ netaikymo aplinkybės nesusidaro", "No FDL escape clauses emerge","FDL escape clause emerged")</f>
        <v>No FDL escape clauses emerge</v>
      </c>
    </row>
    <row r="42" spans="2:7" ht="31.5" customHeight="1" thickBot="1" x14ac:dyDescent="0.3">
      <c r="B42" s="392"/>
      <c r="C42" s="274"/>
      <c r="D42" s="270"/>
      <c r="E42" s="271"/>
      <c r="F42" s="277" t="str">
        <f>G38</f>
        <v>Exceptional circumstances</v>
      </c>
      <c r="G42" s="278" t="str">
        <f>G38</f>
        <v>Exceptional circumstances</v>
      </c>
    </row>
    <row r="43" spans="2:7" ht="28.5" customHeight="1" thickTop="1" x14ac:dyDescent="0.25">
      <c r="C43" s="413" t="s">
        <v>223</v>
      </c>
      <c r="D43" s="413"/>
      <c r="E43" s="413"/>
      <c r="F43" s="113"/>
      <c r="G43" s="113"/>
    </row>
    <row r="44" spans="2:7" ht="28.5" customHeight="1" x14ac:dyDescent="0.25">
      <c r="C44" s="378" t="s">
        <v>287</v>
      </c>
      <c r="D44" s="378"/>
      <c r="E44" s="378"/>
      <c r="F44" s="224"/>
      <c r="G44" s="224"/>
    </row>
    <row r="45" spans="2:7" ht="18.75" customHeight="1" thickBot="1" x14ac:dyDescent="0.3">
      <c r="C45" s="53" t="s">
        <v>311</v>
      </c>
      <c r="D45" s="225"/>
      <c r="E45" s="225"/>
      <c r="F45" s="224"/>
      <c r="G45" s="224"/>
    </row>
    <row r="46" spans="2:7" ht="14.4" thickBot="1" x14ac:dyDescent="0.3">
      <c r="C46" s="106" t="s">
        <v>310</v>
      </c>
      <c r="D46" s="114"/>
      <c r="E46" s="96"/>
      <c r="F46" s="431">
        <v>2022</v>
      </c>
      <c r="G46" s="432"/>
    </row>
    <row r="47" spans="2:7" ht="14.4" thickBot="1" x14ac:dyDescent="0.3">
      <c r="C47" s="106"/>
      <c r="D47" s="112"/>
      <c r="E47" s="54" t="s">
        <v>224</v>
      </c>
      <c r="F47" s="70">
        <f>'3. GGbudget'!F21</f>
        <v>22533.675999999999</v>
      </c>
      <c r="G47" s="71">
        <f>'3. GGbudget'!H21</f>
        <v>22818.489663468099</v>
      </c>
    </row>
    <row r="48" spans="2:7" ht="15" customHeight="1" thickBot="1" x14ac:dyDescent="0.3">
      <c r="C48" s="112"/>
      <c r="D48" s="112"/>
      <c r="E48" s="54" t="s">
        <v>225</v>
      </c>
      <c r="F48" s="70">
        <f>'3. GGbudget'!E21</f>
        <v>19049.885746040003</v>
      </c>
      <c r="G48" s="71">
        <f>'3. GGbudget'!G21</f>
        <v>19049.885746040003</v>
      </c>
    </row>
    <row r="49" spans="3:15" ht="14.4" thickBot="1" x14ac:dyDescent="0.3">
      <c r="C49" s="112"/>
      <c r="D49" s="112"/>
      <c r="E49" s="54" t="s">
        <v>226</v>
      </c>
      <c r="F49" s="437">
        <f>3326.195</f>
        <v>3326.1950000000002</v>
      </c>
      <c r="G49" s="438"/>
      <c r="H49" s="109"/>
    </row>
    <row r="50" spans="3:15" ht="15" thickBot="1" x14ac:dyDescent="0.35">
      <c r="C50" s="112"/>
      <c r="D50" s="112"/>
      <c r="E50" s="54" t="s">
        <v>227</v>
      </c>
      <c r="F50" s="437">
        <f>1924.178</f>
        <v>1924.1780000000001</v>
      </c>
      <c r="G50" s="438"/>
      <c r="H50" s="264"/>
    </row>
    <row r="51" spans="3:15" ht="14.4" thickBot="1" x14ac:dyDescent="0.3">
      <c r="C51" s="53"/>
      <c r="D51" s="55"/>
      <c r="E51" s="54" t="s">
        <v>228</v>
      </c>
      <c r="F51" s="70">
        <f>'3. GGbudget'!F15</f>
        <v>25474.569401177625</v>
      </c>
      <c r="G51" s="71">
        <f>'3. GGbudget'!H15</f>
        <v>25242.482042854594</v>
      </c>
      <c r="H51" s="24"/>
      <c r="I51" s="24"/>
      <c r="O51" s="24"/>
    </row>
    <row r="52" spans="3:15" ht="14.4" thickBot="1" x14ac:dyDescent="0.3">
      <c r="C52" s="53"/>
      <c r="D52" s="55"/>
      <c r="E52" s="54" t="s">
        <v>229</v>
      </c>
      <c r="F52" s="70">
        <f>'3. GGbudget'!E15</f>
        <v>21436.438999999998</v>
      </c>
      <c r="G52" s="71">
        <f>'3. GGbudget'!G15</f>
        <v>21436.438999999998</v>
      </c>
      <c r="H52" s="24"/>
      <c r="I52" s="24"/>
      <c r="O52" s="24"/>
    </row>
    <row r="53" spans="3:15" ht="14.4" thickBot="1" x14ac:dyDescent="0.3">
      <c r="C53" s="53"/>
      <c r="D53" s="55"/>
      <c r="E53" s="54" t="s">
        <v>230</v>
      </c>
      <c r="F53" s="217">
        <f>'2. Macro'!L37-'2. Macro'!K37</f>
        <v>6.279134215775076</v>
      </c>
      <c r="G53" s="73">
        <f>'2. Macro'!L36-'2. Macro'!K36</f>
        <v>6.2801786153764088</v>
      </c>
    </row>
    <row r="54" spans="3:15" ht="14.4" thickBot="1" x14ac:dyDescent="0.3">
      <c r="C54" s="72"/>
      <c r="D54" s="55"/>
      <c r="E54" s="54" t="s">
        <v>231</v>
      </c>
      <c r="F54" s="217">
        <f>-4.4-'2. Macro'!K37</f>
        <v>2.8815637427290159</v>
      </c>
      <c r="G54" s="73">
        <f>F54</f>
        <v>2.8815637427290159</v>
      </c>
    </row>
    <row r="55" spans="3:15" ht="14.4" thickBot="1" x14ac:dyDescent="0.3">
      <c r="C55" s="74" t="s">
        <v>292</v>
      </c>
      <c r="D55" s="55"/>
      <c r="E55" s="74" t="s">
        <v>232</v>
      </c>
      <c r="F55" s="433">
        <v>1.0711243673728601</v>
      </c>
      <c r="G55" s="434"/>
    </row>
    <row r="56" spans="3:15" ht="14.4" thickBot="1" x14ac:dyDescent="0.3">
      <c r="C56" s="74" t="s">
        <v>293</v>
      </c>
      <c r="D56" s="55"/>
      <c r="E56" s="74" t="s">
        <v>233</v>
      </c>
      <c r="F56" s="433">
        <v>1.0397424052602335</v>
      </c>
      <c r="G56" s="434"/>
    </row>
    <row r="57" spans="3:15" ht="14.4" thickBot="1" x14ac:dyDescent="0.3">
      <c r="C57" s="74" t="s">
        <v>288</v>
      </c>
      <c r="D57" s="55"/>
      <c r="E57" s="74" t="s">
        <v>234</v>
      </c>
      <c r="F57" s="435">
        <v>1.0210404957486663</v>
      </c>
      <c r="G57" s="436"/>
    </row>
    <row r="58" spans="3:15" ht="14.4" thickBot="1" x14ac:dyDescent="0.3">
      <c r="C58" s="74" t="s">
        <v>294</v>
      </c>
      <c r="D58" s="55"/>
      <c r="E58" s="74" t="s">
        <v>235</v>
      </c>
      <c r="F58" s="435">
        <v>1.0244543123397334</v>
      </c>
      <c r="G58" s="436"/>
    </row>
    <row r="59" spans="3:15" ht="15" customHeight="1" thickBot="1" x14ac:dyDescent="0.3">
      <c r="C59" s="75" t="s">
        <v>289</v>
      </c>
      <c r="D59" s="55"/>
      <c r="E59" s="74" t="s">
        <v>236</v>
      </c>
      <c r="F59" s="217">
        <v>11.869004647818199</v>
      </c>
      <c r="G59" s="73">
        <v>11.869004647818199</v>
      </c>
    </row>
    <row r="60" spans="3:15" ht="15" customHeight="1" thickBot="1" x14ac:dyDescent="0.3">
      <c r="D60" s="55"/>
      <c r="E60" s="54" t="s">
        <v>237</v>
      </c>
      <c r="F60" s="217">
        <f>'2. Macro'!M20</f>
        <v>-0.74900229283476616</v>
      </c>
      <c r="G60" s="73">
        <f>'2. Macro'!M19</f>
        <v>0.65452103691594488</v>
      </c>
    </row>
    <row r="61" spans="3:15" ht="15" customHeight="1" thickBot="1" x14ac:dyDescent="0.3">
      <c r="D61" s="55"/>
      <c r="E61" s="54" t="s">
        <v>303</v>
      </c>
      <c r="F61" s="439">
        <f>'2. Macro'!M31</f>
        <v>9.8000000000000007</v>
      </c>
      <c r="G61" s="440"/>
    </row>
    <row r="62" spans="3:15" ht="15" customHeight="1" thickBot="1" x14ac:dyDescent="0.3">
      <c r="D62" s="54"/>
      <c r="E62" s="54" t="s">
        <v>238</v>
      </c>
      <c r="F62" s="76">
        <f>+F47-$F$49</f>
        <v>19207.481</v>
      </c>
      <c r="G62" s="76">
        <f>+G47-$F$49</f>
        <v>19492.294663468099</v>
      </c>
    </row>
    <row r="63" spans="3:15" ht="15" customHeight="1" thickBot="1" x14ac:dyDescent="0.3">
      <c r="D63" s="54"/>
      <c r="E63" s="54" t="s">
        <v>239</v>
      </c>
      <c r="F63" s="289">
        <f>+F48-$F$50</f>
        <v>17125.707746040003</v>
      </c>
      <c r="G63" s="77">
        <f>+G48-$F$50</f>
        <v>17125.707746040003</v>
      </c>
    </row>
    <row r="64" spans="3:15" ht="15" customHeight="1" thickBot="1" x14ac:dyDescent="0.3">
      <c r="D64" s="54"/>
      <c r="E64" s="54" t="s">
        <v>240</v>
      </c>
      <c r="F64" s="76">
        <f>+(F62/F63-1)*100</f>
        <v>12.155837789777578</v>
      </c>
      <c r="G64" s="78">
        <f>+(G62/G63-1)*100</f>
        <v>13.818914537855086</v>
      </c>
    </row>
    <row r="65" spans="2:9" s="12" customFormat="1" ht="16.8" thickBot="1" x14ac:dyDescent="0.4">
      <c r="B65" s="108"/>
      <c r="C65" s="1"/>
      <c r="D65" s="54"/>
      <c r="E65" s="54" t="s">
        <v>241</v>
      </c>
      <c r="F65" s="265">
        <f>(POWER('2. Macro'!O16/'2. Macro'!E16,0.1)*POWER(PRODUCT(F55:F58),0.25)-1)</f>
        <v>7.0315243127332172E-2</v>
      </c>
      <c r="G65" s="266">
        <f>(POWER('2. Macro'!O15/'2. Macro'!E15,0.1)*POWER(PRODUCT(F55:F58),0.25)-1)</f>
        <v>6.9376870948984815E-2</v>
      </c>
    </row>
    <row r="66" spans="2:9" s="12" customFormat="1" ht="14.4" thickBot="1" x14ac:dyDescent="0.3">
      <c r="B66" s="108"/>
      <c r="C66" s="1"/>
      <c r="D66" s="54"/>
      <c r="E66" s="54" t="s">
        <v>320</v>
      </c>
      <c r="F66" s="130">
        <f>-3.3</f>
        <v>-3.3</v>
      </c>
      <c r="G66" s="76">
        <f>F66</f>
        <v>-3.3</v>
      </c>
    </row>
    <row r="67" spans="2:9" s="12" customFormat="1" ht="14.4" thickBot="1" x14ac:dyDescent="0.3">
      <c r="B67" s="108"/>
      <c r="C67" s="1"/>
      <c r="D67" s="54"/>
      <c r="E67" s="54" t="s">
        <v>295</v>
      </c>
      <c r="F67" s="130">
        <f>'3. GGbudget'!F8</f>
        <v>-4.9493912149962176</v>
      </c>
      <c r="G67" s="76">
        <f>'3. GGbudget'!H8</f>
        <v>-4.8602950491736268</v>
      </c>
    </row>
    <row r="68" spans="2:9" s="12" customFormat="1" x14ac:dyDescent="0.25">
      <c r="B68" s="108"/>
      <c r="C68" s="1"/>
      <c r="D68" s="54"/>
      <c r="E68" s="54"/>
      <c r="F68" s="82"/>
      <c r="G68" s="82"/>
    </row>
    <row r="69" spans="2:9" s="12" customFormat="1" ht="15" thickBot="1" x14ac:dyDescent="0.35">
      <c r="B69" s="108"/>
      <c r="C69" s="1"/>
      <c r="D69" s="10"/>
      <c r="E69" s="10" t="s">
        <v>50</v>
      </c>
      <c r="F69" s="10"/>
      <c r="G69" s="5"/>
      <c r="H69" s="207" t="s">
        <v>51</v>
      </c>
    </row>
    <row r="70" spans="2:9" s="12" customFormat="1" ht="15" thickBot="1" x14ac:dyDescent="0.35">
      <c r="B70" s="108"/>
      <c r="C70" s="1"/>
      <c r="D70" s="10"/>
      <c r="E70" s="10" t="s">
        <v>52</v>
      </c>
      <c r="F70" s="314" t="s">
        <v>23</v>
      </c>
      <c r="G70" s="315"/>
      <c r="H70" s="207" t="s">
        <v>53</v>
      </c>
    </row>
    <row r="71" spans="2:9" s="12" customFormat="1" ht="15" thickBot="1" x14ac:dyDescent="0.35">
      <c r="B71" s="108"/>
      <c r="C71" s="1"/>
      <c r="D71" s="10"/>
      <c r="E71" s="10" t="s">
        <v>54</v>
      </c>
      <c r="F71" s="316" t="s">
        <v>24</v>
      </c>
      <c r="G71" s="317"/>
      <c r="H71" s="233" t="s">
        <v>55</v>
      </c>
    </row>
    <row r="72" spans="2:9" s="12" customFormat="1" ht="15" thickBot="1" x14ac:dyDescent="0.35">
      <c r="B72" s="108"/>
      <c r="C72" s="1"/>
      <c r="D72" s="10"/>
      <c r="E72" s="10" t="s">
        <v>242</v>
      </c>
      <c r="F72" s="429" t="s">
        <v>243</v>
      </c>
      <c r="G72" s="430"/>
      <c r="H72" s="207" t="s">
        <v>244</v>
      </c>
    </row>
    <row r="73" spans="2:9" s="12" customFormat="1" x14ac:dyDescent="0.25">
      <c r="B73" s="61"/>
      <c r="D73" s="226" t="s">
        <v>245</v>
      </c>
      <c r="E73" s="226"/>
      <c r="F73" s="227">
        <f>IF(F6="Tiesa",1,0)</f>
        <v>0</v>
      </c>
      <c r="G73" s="227">
        <f>IF(G6="Tiesa",1,0)</f>
        <v>0</v>
      </c>
      <c r="H73" s="226" t="str">
        <f t="shared" ref="H73:I77" si="0">IF(F73=1,$D73,"")</f>
        <v/>
      </c>
      <c r="I73" s="226" t="str">
        <f t="shared" si="0"/>
        <v/>
      </c>
    </row>
    <row r="74" spans="2:9" x14ac:dyDescent="0.25">
      <c r="B74" s="61"/>
      <c r="C74" s="12"/>
      <c r="D74" s="226" t="s">
        <v>246</v>
      </c>
      <c r="E74" s="226"/>
      <c r="F74" s="227">
        <f>IF(F9="Tiesa",1,0)</f>
        <v>0</v>
      </c>
      <c r="G74" s="227">
        <f>IF(G9="Tiesa",1,0)</f>
        <v>0</v>
      </c>
      <c r="H74" s="226" t="str">
        <f t="shared" si="0"/>
        <v/>
      </c>
      <c r="I74" s="226" t="str">
        <f t="shared" si="0"/>
        <v/>
      </c>
    </row>
    <row r="75" spans="2:9" x14ac:dyDescent="0.25">
      <c r="C75" s="23"/>
      <c r="D75" s="226" t="s">
        <v>247</v>
      </c>
      <c r="E75" s="226"/>
      <c r="F75" s="227">
        <f>IF(F15="Tiesa",1,0)</f>
        <v>0</v>
      </c>
      <c r="G75" s="227">
        <f>IF(G15="Tiesa",1,0)</f>
        <v>0</v>
      </c>
      <c r="H75" s="226" t="str">
        <f t="shared" si="0"/>
        <v/>
      </c>
      <c r="I75" s="226" t="str">
        <f t="shared" si="0"/>
        <v/>
      </c>
    </row>
    <row r="76" spans="2:9" x14ac:dyDescent="0.25">
      <c r="D76" s="226" t="s">
        <v>248</v>
      </c>
      <c r="E76" s="226"/>
      <c r="F76" s="227">
        <f>IF(F18="Tiesa",1,0)</f>
        <v>0</v>
      </c>
      <c r="G76" s="227">
        <f>IF(G18="Tiesa",1,0)</f>
        <v>0</v>
      </c>
      <c r="H76" s="226" t="str">
        <f t="shared" si="0"/>
        <v/>
      </c>
      <c r="I76" s="226" t="str">
        <f t="shared" si="0"/>
        <v/>
      </c>
    </row>
    <row r="77" spans="2:9" x14ac:dyDescent="0.25">
      <c r="D77" s="226" t="s">
        <v>249</v>
      </c>
      <c r="E77" s="226"/>
      <c r="F77" s="227">
        <f>IF(F21="Tiesa",1,0)</f>
        <v>1</v>
      </c>
      <c r="G77" s="227">
        <f>IF(G21="Tiesa",1,0)</f>
        <v>0</v>
      </c>
      <c r="H77" s="226" t="str">
        <f t="shared" si="0"/>
        <v>A5</v>
      </c>
      <c r="I77" s="226" t="str">
        <f t="shared" si="0"/>
        <v/>
      </c>
    </row>
    <row r="78" spans="2:9" x14ac:dyDescent="0.25">
      <c r="D78" s="176"/>
      <c r="E78" s="176"/>
      <c r="F78" s="227">
        <f>SUM(F73:F77)</f>
        <v>1</v>
      </c>
      <c r="G78" s="227">
        <f>SUM(G73:G77)</f>
        <v>0</v>
      </c>
      <c r="H78" s="176"/>
      <c r="I78" s="176"/>
    </row>
    <row r="79" spans="2:9" x14ac:dyDescent="0.25">
      <c r="D79" s="176"/>
      <c r="E79" s="176"/>
      <c r="F79" s="176"/>
      <c r="G79" s="176"/>
      <c r="H79" s="176"/>
      <c r="I79" s="176"/>
    </row>
  </sheetData>
  <mergeCells count="49">
    <mergeCell ref="B39:B42"/>
    <mergeCell ref="C39:C40"/>
    <mergeCell ref="B12:B14"/>
    <mergeCell ref="C12:C13"/>
    <mergeCell ref="D12:E14"/>
    <mergeCell ref="B24:B26"/>
    <mergeCell ref="D24:E26"/>
    <mergeCell ref="B18:B20"/>
    <mergeCell ref="D18:E20"/>
    <mergeCell ref="C21:C22"/>
    <mergeCell ref="D21:E23"/>
    <mergeCell ref="B21:B23"/>
    <mergeCell ref="C18:C19"/>
    <mergeCell ref="F70:G70"/>
    <mergeCell ref="F71:G71"/>
    <mergeCell ref="F72:G72"/>
    <mergeCell ref="F46:G46"/>
    <mergeCell ref="F56:G56"/>
    <mergeCell ref="F57:G57"/>
    <mergeCell ref="F58:G58"/>
    <mergeCell ref="F55:G55"/>
    <mergeCell ref="F49:G49"/>
    <mergeCell ref="F50:G50"/>
    <mergeCell ref="F61:G61"/>
    <mergeCell ref="C44:E44"/>
    <mergeCell ref="C6:C7"/>
    <mergeCell ref="C43:E43"/>
    <mergeCell ref="B1:C1"/>
    <mergeCell ref="B3:G3"/>
    <mergeCell ref="D4:E4"/>
    <mergeCell ref="F4:G4"/>
    <mergeCell ref="D6:E8"/>
    <mergeCell ref="B6:B8"/>
    <mergeCell ref="B9:B11"/>
    <mergeCell ref="D9:E11"/>
    <mergeCell ref="B15:B17"/>
    <mergeCell ref="D15:E17"/>
    <mergeCell ref="C9:C10"/>
    <mergeCell ref="C15:C16"/>
    <mergeCell ref="B5:E5"/>
    <mergeCell ref="F31:G31"/>
    <mergeCell ref="D31:E31"/>
    <mergeCell ref="C32:C36"/>
    <mergeCell ref="B27:B30"/>
    <mergeCell ref="D27:E30"/>
    <mergeCell ref="C27:C28"/>
    <mergeCell ref="C29:C30"/>
    <mergeCell ref="B32:B38"/>
    <mergeCell ref="C37:C38"/>
  </mergeCells>
  <hyperlinks>
    <hyperlink ref="B1:C1" location="Content!A1" display="↖ atgal į turinį " xr:uid="{C1F28AC6-E1C5-42D9-974A-4CDFCB905D96}"/>
    <hyperlink ref="B1" location="Content!A1" display="↖ atgal į turinį" xr:uid="{157D154F-6AF6-4176-8CAF-1EEC7F40D7AF}"/>
  </hyperlinks>
  <pageMargins left="0.7" right="0.7" top="0.75" bottom="0.75" header="0.3" footer="0.3"/>
  <pageSetup orientation="portrait" r:id="rId1"/>
  <drawing r:id="rId2"/>
  <extLst>
    <ext xmlns:x14="http://schemas.microsoft.com/office/spreadsheetml/2009/9/main" uri="{78C0D931-6437-407d-A8EE-F0AAD7539E65}">
      <x14:conditionalFormattings>
        <x14:conditionalFormatting xmlns:xm="http://schemas.microsoft.com/office/excel/2006/main">
          <x14:cfRule type="iconSet" priority="29" id="{661AC5CD-FA45-44D0-80E4-D6C7BFACF0D2}">
            <x14:iconSet iconSet="3Symbols" showValue="0" custom="1">
              <x14:cfvo type="percent">
                <xm:f>0</xm:f>
              </x14:cfvo>
              <x14:cfvo type="formula">
                <xm:f>"&lt;=0"</xm:f>
              </x14:cfvo>
              <x14:cfvo type="formula" gte="0">
                <xm:f>0</xm:f>
              </x14:cfvo>
              <x14:cfIcon iconSet="NoIcons" iconId="0"/>
              <x14:cfIcon iconSet="3Symbols" iconId="0"/>
              <x14:cfIcon iconSet="3Symbols" iconId="2"/>
            </x14:iconSet>
          </x14:cfRule>
          <xm:sqref>F6</xm:sqref>
        </x14:conditionalFormatting>
        <x14:conditionalFormatting xmlns:xm="http://schemas.microsoft.com/office/excel/2006/main">
          <x14:cfRule type="iconSet" priority="36" id="{E78A37C1-1D97-4A12-ABC3-6664B3D6011B}">
            <x14:iconSet iconSet="3Symbols" showValue="0" custom="1">
              <x14:cfvo type="percent">
                <xm:f>0</xm:f>
              </x14:cfvo>
              <x14:cfvo type="formula">
                <xm:f>"&lt;=0"</xm:f>
              </x14:cfvo>
              <x14:cfvo type="formula" gte="0">
                <xm:f>0</xm:f>
              </x14:cfvo>
              <x14:cfIcon iconSet="NoIcons" iconId="0"/>
              <x14:cfIcon iconSet="3Symbols" iconId="0"/>
              <x14:cfIcon iconSet="3Symbols" iconId="2"/>
            </x14:iconSet>
          </x14:cfRule>
          <xm:sqref>G9:G10</xm:sqref>
        </x14:conditionalFormatting>
        <x14:conditionalFormatting xmlns:xm="http://schemas.microsoft.com/office/excel/2006/main">
          <x14:cfRule type="iconSet" priority="35" id="{9396564F-B0F2-42C0-ABF5-BA5C738AD39C}">
            <x14:iconSet iconSet="3Symbols" showValue="0" custom="1">
              <x14:cfvo type="percent">
                <xm:f>0</xm:f>
              </x14:cfvo>
              <x14:cfvo type="formula">
                <xm:f>"&lt;=0"</xm:f>
              </x14:cfvo>
              <x14:cfvo type="formula" gte="0">
                <xm:f>0</xm:f>
              </x14:cfvo>
              <x14:cfIcon iconSet="NoIcons" iconId="0"/>
              <x14:cfIcon iconSet="3Symbols" iconId="0"/>
              <x14:cfIcon iconSet="3Symbols" iconId="2"/>
            </x14:iconSet>
          </x14:cfRule>
          <xm:sqref>G15:G16</xm:sqref>
        </x14:conditionalFormatting>
        <x14:conditionalFormatting xmlns:xm="http://schemas.microsoft.com/office/excel/2006/main">
          <x14:cfRule type="iconSet" priority="34" id="{45899898-BB0D-4DA7-9D7A-8FF8213207BE}">
            <x14:iconSet iconSet="3Symbols" showValue="0" custom="1">
              <x14:cfvo type="percent">
                <xm:f>0</xm:f>
              </x14:cfvo>
              <x14:cfvo type="formula">
                <xm:f>"&lt;=0"</xm:f>
              </x14:cfvo>
              <x14:cfvo type="formula" gte="0">
                <xm:f>0</xm:f>
              </x14:cfvo>
              <x14:cfIcon iconSet="NoIcons" iconId="0"/>
              <x14:cfIcon iconSet="3Symbols" iconId="0"/>
              <x14:cfIcon iconSet="3Symbols" iconId="2"/>
            </x14:iconSet>
          </x14:cfRule>
          <xm:sqref>G21</xm:sqref>
        </x14:conditionalFormatting>
        <x14:conditionalFormatting xmlns:xm="http://schemas.microsoft.com/office/excel/2006/main">
          <x14:cfRule type="iconSet" priority="33" id="{C3F3D702-6C08-4B07-A875-5AF7B88710ED}">
            <x14:iconSet iconSet="3Symbols" showValue="0" custom="1">
              <x14:cfvo type="percent">
                <xm:f>0</xm:f>
              </x14:cfvo>
              <x14:cfvo type="formula">
                <xm:f>"&lt;=0"</xm:f>
              </x14:cfvo>
              <x14:cfvo type="formula" gte="0">
                <xm:f>0</xm:f>
              </x14:cfvo>
              <x14:cfIcon iconSet="NoIcons" iconId="0"/>
              <x14:cfIcon iconSet="3Symbols" iconId="0"/>
              <x14:cfIcon iconSet="3Symbols" iconId="2"/>
            </x14:iconSet>
          </x14:cfRule>
          <xm:sqref>G7:G8</xm:sqref>
        </x14:conditionalFormatting>
        <x14:conditionalFormatting xmlns:xm="http://schemas.microsoft.com/office/excel/2006/main">
          <x14:cfRule type="iconSet" priority="37" id="{A04B66C3-301F-4E29-A078-32683701CBCC}">
            <x14:iconSet iconSet="3Symbols" showValue="0" custom="1">
              <x14:cfvo type="percent">
                <xm:f>0</xm:f>
              </x14:cfvo>
              <x14:cfvo type="formula">
                <xm:f>"&lt;=0"</xm:f>
              </x14:cfvo>
              <x14:cfvo type="formula" gte="0">
                <xm:f>0</xm:f>
              </x14:cfvo>
              <x14:cfIcon iconSet="NoIcons" iconId="0"/>
              <x14:cfIcon iconSet="3Symbols" iconId="0"/>
              <x14:cfIcon iconSet="3Symbols" iconId="2"/>
            </x14:iconSet>
          </x14:cfRule>
          <xm:sqref>G11</xm:sqref>
        </x14:conditionalFormatting>
        <x14:conditionalFormatting xmlns:xm="http://schemas.microsoft.com/office/excel/2006/main">
          <x14:cfRule type="iconSet" priority="38" id="{66C50081-35A7-4237-8618-B818ECEB4F58}">
            <x14:iconSet iconSet="3Symbols" showValue="0" custom="1">
              <x14:cfvo type="percent">
                <xm:f>0</xm:f>
              </x14:cfvo>
              <x14:cfvo type="formula">
                <xm:f>"&lt;=0"</xm:f>
              </x14:cfvo>
              <x14:cfvo type="formula" gte="0">
                <xm:f>0</xm:f>
              </x14:cfvo>
              <x14:cfIcon iconSet="NoIcons" iconId="0"/>
              <x14:cfIcon iconSet="3Symbols" iconId="0"/>
              <x14:cfIcon iconSet="3Symbols" iconId="2"/>
            </x14:iconSet>
          </x14:cfRule>
          <xm:sqref>F15:F16</xm:sqref>
        </x14:conditionalFormatting>
        <x14:conditionalFormatting xmlns:xm="http://schemas.microsoft.com/office/excel/2006/main">
          <x14:cfRule type="iconSet" priority="39" id="{35BF4E43-C7E3-411C-A9FA-86FE88C6C8C7}">
            <x14:iconSet iconSet="3Symbols" showValue="0" custom="1">
              <x14:cfvo type="percent">
                <xm:f>0</xm:f>
              </x14:cfvo>
              <x14:cfvo type="formula">
                <xm:f>"&lt;=0"</xm:f>
              </x14:cfvo>
              <x14:cfvo type="formula" gte="0">
                <xm:f>0</xm:f>
              </x14:cfvo>
              <x14:cfIcon iconSet="NoIcons" iconId="0"/>
              <x14:cfIcon iconSet="3Symbols" iconId="0"/>
              <x14:cfIcon iconSet="3Symbols" iconId="2"/>
            </x14:iconSet>
          </x14:cfRule>
          <xm:sqref>F21</xm:sqref>
        </x14:conditionalFormatting>
        <x14:conditionalFormatting xmlns:xm="http://schemas.microsoft.com/office/excel/2006/main">
          <x14:cfRule type="iconSet" priority="40" id="{2072703B-8A07-4D04-B0E1-0E2DA3750A6B}">
            <x14:iconSet iconSet="3Symbols" showValue="0" custom="1">
              <x14:cfvo type="percent">
                <xm:f>0</xm:f>
              </x14:cfvo>
              <x14:cfvo type="formula">
                <xm:f>"&lt;=0"</xm:f>
              </x14:cfvo>
              <x14:cfvo type="formula" gte="0">
                <xm:f>0</xm:f>
              </x14:cfvo>
              <x14:cfIcon iconSet="NoIcons" iconId="0"/>
              <x14:cfIcon iconSet="3Symbols" iconId="0"/>
              <x14:cfIcon iconSet="3Symbols" iconId="2"/>
            </x14:iconSet>
          </x14:cfRule>
          <xm:sqref>F7:F8</xm:sqref>
        </x14:conditionalFormatting>
        <x14:conditionalFormatting xmlns:xm="http://schemas.microsoft.com/office/excel/2006/main">
          <x14:cfRule type="iconSet" priority="41" id="{767D6C9B-0DB4-4EFA-8449-19373B227E0C}">
            <x14:iconSet iconSet="3Symbols" showValue="0" custom="1">
              <x14:cfvo type="percent">
                <xm:f>0</xm:f>
              </x14:cfvo>
              <x14:cfvo type="formula">
                <xm:f>"&lt;=0"</xm:f>
              </x14:cfvo>
              <x14:cfvo type="formula" gte="0">
                <xm:f>0</xm:f>
              </x14:cfvo>
              <x14:cfIcon iconSet="NoIcons" iconId="0"/>
              <x14:cfIcon iconSet="3Symbols" iconId="0"/>
              <x14:cfIcon iconSet="3Symbols" iconId="2"/>
            </x14:iconSet>
          </x14:cfRule>
          <xm:sqref>F9:F11</xm:sqref>
        </x14:conditionalFormatting>
        <x14:conditionalFormatting xmlns:xm="http://schemas.microsoft.com/office/excel/2006/main">
          <x14:cfRule type="iconSet" priority="42" id="{57139533-41E0-4B8B-859F-0874CF567743}">
            <x14:iconSet iconSet="3Symbols" showValue="0" custom="1">
              <x14:cfvo type="percent">
                <xm:f>0</xm:f>
              </x14:cfvo>
              <x14:cfvo type="formula">
                <xm:f>"&lt;=0"</xm:f>
              </x14:cfvo>
              <x14:cfvo type="formula" gte="0">
                <xm:f>0</xm:f>
              </x14:cfvo>
              <x14:cfIcon iconSet="NoIcons" iconId="0"/>
              <x14:cfIcon iconSet="3Symbols" iconId="0"/>
              <x14:cfIcon iconSet="3Symbols" iconId="2"/>
            </x14:iconSet>
          </x14:cfRule>
          <xm:sqref>F23:G23 G22</xm:sqref>
        </x14:conditionalFormatting>
        <x14:conditionalFormatting xmlns:xm="http://schemas.microsoft.com/office/excel/2006/main">
          <x14:cfRule type="iconSet" priority="30" id="{872A1223-A666-45AB-90C0-CD32D13D5F47}">
            <x14:iconSet iconSet="3Symbols" showValue="0" custom="1">
              <x14:cfvo type="percent">
                <xm:f>0</xm:f>
              </x14:cfvo>
              <x14:cfvo type="formula">
                <xm:f>"&lt;=0"</xm:f>
              </x14:cfvo>
              <x14:cfvo type="formula" gte="0">
                <xm:f>0</xm:f>
              </x14:cfvo>
              <x14:cfIcon iconSet="NoIcons" iconId="0"/>
              <x14:cfIcon iconSet="3Symbols" iconId="0"/>
              <x14:cfIcon iconSet="3Symbols" iconId="2"/>
            </x14:iconSet>
          </x14:cfRule>
          <xm:sqref>G6</xm:sqref>
        </x14:conditionalFormatting>
        <x14:conditionalFormatting xmlns:xm="http://schemas.microsoft.com/office/excel/2006/main">
          <x14:cfRule type="iconSet" priority="26" id="{1D77CD43-A23A-4754-A37E-5A87E87517D2}">
            <x14:iconSet iconSet="3Symbols" showValue="0" custom="1">
              <x14:cfvo type="percent">
                <xm:f>0</xm:f>
              </x14:cfvo>
              <x14:cfvo type="formula">
                <xm:f>"&lt;=0"</xm:f>
              </x14:cfvo>
              <x14:cfvo type="formula" gte="0">
                <xm:f>0</xm:f>
              </x14:cfvo>
              <x14:cfIcon iconSet="NoIcons" iconId="0"/>
              <x14:cfIcon iconSet="3Symbols" iconId="0"/>
              <x14:cfIcon iconSet="3Symbols" iconId="2"/>
            </x14:iconSet>
          </x14:cfRule>
          <xm:sqref>F22</xm:sqref>
        </x14:conditionalFormatting>
        <x14:conditionalFormatting xmlns:xm="http://schemas.microsoft.com/office/excel/2006/main">
          <x14:cfRule type="iconSet" priority="23" id="{FF51D037-EB06-4BF3-8B74-3B0ADEDDC267}">
            <x14:iconSet iconSet="3Symbols" showValue="0" custom="1">
              <x14:cfvo type="percent">
                <xm:f>0</xm:f>
              </x14:cfvo>
              <x14:cfvo type="formula">
                <xm:f>"&lt;=0"</xm:f>
              </x14:cfvo>
              <x14:cfvo type="formula" gte="0">
                <xm:f>0</xm:f>
              </x14:cfvo>
              <x14:cfIcon iconSet="NoIcons" iconId="0"/>
              <x14:cfIcon iconSet="3Symbols" iconId="0"/>
              <x14:cfIcon iconSet="3Symbols" iconId="2"/>
            </x14:iconSet>
          </x14:cfRule>
          <xm:sqref>F18</xm:sqref>
        </x14:conditionalFormatting>
        <x14:conditionalFormatting xmlns:xm="http://schemas.microsoft.com/office/excel/2006/main">
          <x14:cfRule type="iconSet" priority="24" id="{8FA66A3C-9B93-4766-8B10-4D7BCF482E22}">
            <x14:iconSet iconSet="3Symbols" showValue="0" custom="1">
              <x14:cfvo type="percent">
                <xm:f>0</xm:f>
              </x14:cfvo>
              <x14:cfvo type="formula">
                <xm:f>"&lt;=0"</xm:f>
              </x14:cfvo>
              <x14:cfvo type="formula" gte="0">
                <xm:f>0</xm:f>
              </x14:cfvo>
              <x14:cfIcon iconSet="NoIcons" iconId="0"/>
              <x14:cfIcon iconSet="3Symbols" iconId="0"/>
              <x14:cfIcon iconSet="3Symbols" iconId="2"/>
            </x14:iconSet>
          </x14:cfRule>
          <xm:sqref>F20</xm:sqref>
        </x14:conditionalFormatting>
        <x14:conditionalFormatting xmlns:xm="http://schemas.microsoft.com/office/excel/2006/main">
          <x14:cfRule type="iconSet" priority="22" id="{1A250BF7-AA6E-46D9-B5C4-D125B630174C}">
            <x14:iconSet iconSet="3Symbols" showValue="0" custom="1">
              <x14:cfvo type="percent">
                <xm:f>0</xm:f>
              </x14:cfvo>
              <x14:cfvo type="formula">
                <xm:f>"&lt;=0"</xm:f>
              </x14:cfvo>
              <x14:cfvo type="formula" gte="0">
                <xm:f>0</xm:f>
              </x14:cfvo>
              <x14:cfIcon iconSet="NoIcons" iconId="0"/>
              <x14:cfIcon iconSet="3Symbols" iconId="0"/>
              <x14:cfIcon iconSet="3Symbols" iconId="2"/>
            </x14:iconSet>
          </x14:cfRule>
          <xm:sqref>F19</xm:sqref>
        </x14:conditionalFormatting>
        <x14:conditionalFormatting xmlns:xm="http://schemas.microsoft.com/office/excel/2006/main">
          <x14:cfRule type="iconSet" priority="20" id="{D6528875-3EA9-4A09-BDCE-C3A750504A28}">
            <x14:iconSet iconSet="3Symbols" showValue="0" custom="1">
              <x14:cfvo type="percent">
                <xm:f>0</xm:f>
              </x14:cfvo>
              <x14:cfvo type="formula">
                <xm:f>"&lt;=0"</xm:f>
              </x14:cfvo>
              <x14:cfvo type="formula" gte="0">
                <xm:f>0</xm:f>
              </x14:cfvo>
              <x14:cfIcon iconSet="NoIcons" iconId="0"/>
              <x14:cfIcon iconSet="3Symbols" iconId="0"/>
              <x14:cfIcon iconSet="3Symbols" iconId="2"/>
            </x14:iconSet>
          </x14:cfRule>
          <xm:sqref>G18</xm:sqref>
        </x14:conditionalFormatting>
        <x14:conditionalFormatting xmlns:xm="http://schemas.microsoft.com/office/excel/2006/main">
          <x14:cfRule type="iconSet" priority="21" id="{DA4118A7-23A0-4047-9FF0-1589B4EACD85}">
            <x14:iconSet iconSet="3Symbols" showValue="0" custom="1">
              <x14:cfvo type="percent">
                <xm:f>0</xm:f>
              </x14:cfvo>
              <x14:cfvo type="formula">
                <xm:f>"&lt;=0"</xm:f>
              </x14:cfvo>
              <x14:cfvo type="formula" gte="0">
                <xm:f>0</xm:f>
              </x14:cfvo>
              <x14:cfIcon iconSet="NoIcons" iconId="0"/>
              <x14:cfIcon iconSet="3Symbols" iconId="0"/>
              <x14:cfIcon iconSet="3Symbols" iconId="2"/>
            </x14:iconSet>
          </x14:cfRule>
          <xm:sqref>G19:G20</xm:sqref>
        </x14:conditionalFormatting>
        <x14:conditionalFormatting xmlns:xm="http://schemas.microsoft.com/office/excel/2006/main">
          <x14:cfRule type="iconSet" priority="13" id="{4B84F8C2-0DBC-46F8-BA57-3D018C22362C}">
            <x14:iconSet iconSet="3Symbols" showValue="0" custom="1">
              <x14:cfvo type="percent">
                <xm:f>0</xm:f>
              </x14:cfvo>
              <x14:cfvo type="formula">
                <xm:f>"&lt;=0"</xm:f>
              </x14:cfvo>
              <x14:cfvo type="formula" gte="0">
                <xm:f>0</xm:f>
              </x14:cfvo>
              <x14:cfIcon iconSet="NoIcons" iconId="0"/>
              <x14:cfIcon iconSet="3Symbols" iconId="0"/>
              <x14:cfIcon iconSet="3Symbols" iconId="2"/>
            </x14:iconSet>
          </x14:cfRule>
          <xm:sqref>F12:F14</xm:sqref>
        </x14:conditionalFormatting>
        <x14:conditionalFormatting xmlns:xm="http://schemas.microsoft.com/office/excel/2006/main">
          <x14:cfRule type="iconSet" priority="11" id="{C3F1928C-D211-4DCB-8DB6-754EF973755E}">
            <x14:iconSet iconSet="3Symbols" showValue="0" custom="1">
              <x14:cfvo type="percent">
                <xm:f>0</xm:f>
              </x14:cfvo>
              <x14:cfvo type="formula">
                <xm:f>"&lt;=0"</xm:f>
              </x14:cfvo>
              <x14:cfvo type="formula" gte="0">
                <xm:f>0</xm:f>
              </x14:cfvo>
              <x14:cfIcon iconSet="NoIcons" iconId="0"/>
              <x14:cfIcon iconSet="3Symbols" iconId="0"/>
              <x14:cfIcon iconSet="3Symbols" iconId="2"/>
            </x14:iconSet>
          </x14:cfRule>
          <xm:sqref>G12</xm:sqref>
        </x14:conditionalFormatting>
        <x14:conditionalFormatting xmlns:xm="http://schemas.microsoft.com/office/excel/2006/main">
          <x14:cfRule type="iconSet" priority="12" id="{37B2E7BC-E823-48CE-AC05-FE55384E77E2}">
            <x14:iconSet iconSet="3Symbols" showValue="0" custom="1">
              <x14:cfvo type="percent">
                <xm:f>0</xm:f>
              </x14:cfvo>
              <x14:cfvo type="formula">
                <xm:f>"&lt;=0"</xm:f>
              </x14:cfvo>
              <x14:cfvo type="formula" gte="0">
                <xm:f>0</xm:f>
              </x14:cfvo>
              <x14:cfIcon iconSet="NoIcons" iconId="0"/>
              <x14:cfIcon iconSet="3Symbols" iconId="0"/>
              <x14:cfIcon iconSet="3Symbols" iconId="2"/>
            </x14:iconSet>
          </x14:cfRule>
          <xm:sqref>G14</xm:sqref>
        </x14:conditionalFormatting>
        <x14:conditionalFormatting xmlns:xm="http://schemas.microsoft.com/office/excel/2006/main">
          <x14:cfRule type="iconSet" priority="9" id="{75B72CB1-75A5-4353-AE17-25F10040A2C2}">
            <x14:iconSet iconSet="3Symbols" showValue="0" custom="1">
              <x14:cfvo type="percent">
                <xm:f>0</xm:f>
              </x14:cfvo>
              <x14:cfvo type="formula">
                <xm:f>"&lt;=0"</xm:f>
              </x14:cfvo>
              <x14:cfvo type="formula" gte="0">
                <xm:f>0</xm:f>
              </x14:cfvo>
              <x14:cfIcon iconSet="NoIcons" iconId="0"/>
              <x14:cfIcon iconSet="3Symbols" iconId="0"/>
              <x14:cfIcon iconSet="3Symbols" iconId="2"/>
            </x14:iconSet>
          </x14:cfRule>
          <xm:sqref>F24</xm:sqref>
        </x14:conditionalFormatting>
        <x14:conditionalFormatting xmlns:xm="http://schemas.microsoft.com/office/excel/2006/main">
          <x14:cfRule type="iconSet" priority="10" id="{2C3F38D9-63D2-46F3-A233-DBC342280EF3}">
            <x14:iconSet iconSet="3Symbols" showValue="0" custom="1">
              <x14:cfvo type="percent">
                <xm:f>0</xm:f>
              </x14:cfvo>
              <x14:cfvo type="formula">
                <xm:f>"&lt;=0"</xm:f>
              </x14:cfvo>
              <x14:cfvo type="formula" gte="0">
                <xm:f>0</xm:f>
              </x14:cfvo>
              <x14:cfIcon iconSet="NoIcons" iconId="0"/>
              <x14:cfIcon iconSet="3Symbols" iconId="0"/>
              <x14:cfIcon iconSet="3Symbols" iconId="2"/>
            </x14:iconSet>
          </x14:cfRule>
          <xm:sqref>F26</xm:sqref>
        </x14:conditionalFormatting>
        <x14:conditionalFormatting xmlns:xm="http://schemas.microsoft.com/office/excel/2006/main">
          <x14:cfRule type="iconSet" priority="8" id="{0696634F-469B-44DB-8112-F7BDB0AC862F}">
            <x14:iconSet iconSet="3Symbols" showValue="0" custom="1">
              <x14:cfvo type="percent">
                <xm:f>0</xm:f>
              </x14:cfvo>
              <x14:cfvo type="formula">
                <xm:f>"&lt;=0"</xm:f>
              </x14:cfvo>
              <x14:cfvo type="formula" gte="0">
                <xm:f>0</xm:f>
              </x14:cfvo>
              <x14:cfIcon iconSet="NoIcons" iconId="0"/>
              <x14:cfIcon iconSet="3Symbols" iconId="0"/>
              <x14:cfIcon iconSet="3Symbols" iconId="2"/>
            </x14:iconSet>
          </x14:cfRule>
          <xm:sqref>F25</xm:sqref>
        </x14:conditionalFormatting>
        <x14:conditionalFormatting xmlns:xm="http://schemas.microsoft.com/office/excel/2006/main">
          <x14:cfRule type="iconSet" priority="7" id="{3984CFD2-872A-45E2-9132-6215A90E40CE}">
            <x14:iconSet iconSet="3Symbols" showValue="0" custom="1">
              <x14:cfvo type="percent">
                <xm:f>0</xm:f>
              </x14:cfvo>
              <x14:cfvo type="formula">
                <xm:f>"&lt;=0"</xm:f>
              </x14:cfvo>
              <x14:cfvo type="formula" gte="0">
                <xm:f>0</xm:f>
              </x14:cfvo>
              <x14:cfIcon iconSet="NoIcons" iconId="0"/>
              <x14:cfIcon iconSet="3Symbols" iconId="0"/>
              <x14:cfIcon iconSet="3Symbols" iconId="2"/>
            </x14:iconSet>
          </x14:cfRule>
          <xm:sqref>G26</xm:sqref>
        </x14:conditionalFormatting>
        <x14:conditionalFormatting xmlns:xm="http://schemas.microsoft.com/office/excel/2006/main">
          <x14:cfRule type="iconSet" priority="5" id="{37A7AC44-43B9-462C-9A84-1AEF3EF50937}">
            <x14:iconSet iconSet="3Symbols" showValue="0" custom="1">
              <x14:cfvo type="percent">
                <xm:f>0</xm:f>
              </x14:cfvo>
              <x14:cfvo type="formula">
                <xm:f>"&lt;=0"</xm:f>
              </x14:cfvo>
              <x14:cfvo type="formula" gte="0">
                <xm:f>0</xm:f>
              </x14:cfvo>
              <x14:cfIcon iconSet="NoIcons" iconId="0"/>
              <x14:cfIcon iconSet="3Symbols" iconId="0"/>
              <x14:cfIcon iconSet="3Symbols" iconId="2"/>
            </x14:iconSet>
          </x14:cfRule>
          <xm:sqref>G24</xm:sqref>
        </x14:conditionalFormatting>
        <x14:conditionalFormatting xmlns:xm="http://schemas.microsoft.com/office/excel/2006/main">
          <x14:cfRule type="iconSet" priority="3" id="{A1323D7C-DF4E-4E60-B046-C8BBB46DC64E}">
            <x14:iconSet iconSet="3Symbols" showValue="0" custom="1">
              <x14:cfvo type="percent">
                <xm:f>0</xm:f>
              </x14:cfvo>
              <x14:cfvo type="formula">
                <xm:f>"&lt;=0"</xm:f>
              </x14:cfvo>
              <x14:cfvo type="formula" gte="0">
                <xm:f>0</xm:f>
              </x14:cfvo>
              <x14:cfIcon iconSet="NoIcons" iconId="0"/>
              <x14:cfIcon iconSet="3Symbols" iconId="0"/>
              <x14:cfIcon iconSet="3Symbols" iconId="2"/>
            </x14:iconSet>
          </x14:cfRule>
          <xm:sqref>G13</xm:sqref>
        </x14:conditionalFormatting>
        <x14:conditionalFormatting xmlns:xm="http://schemas.microsoft.com/office/excel/2006/main">
          <x14:cfRule type="iconSet" priority="1" id="{2F37A855-7DAE-4825-B3C0-5005F12E17AC}">
            <x14:iconSet iconSet="3Symbols" showValue="0" custom="1">
              <x14:cfvo type="percent">
                <xm:f>0</xm:f>
              </x14:cfvo>
              <x14:cfvo type="formula">
                <xm:f>"&lt;=0"</xm:f>
              </x14:cfvo>
              <x14:cfvo type="formula" gte="0">
                <xm:f>0</xm:f>
              </x14:cfvo>
              <x14:cfIcon iconSet="NoIcons" iconId="0"/>
              <x14:cfIcon iconSet="3Symbols" iconId="0"/>
              <x14:cfIcon iconSet="3Symbols" iconId="2"/>
            </x14:iconSet>
          </x14:cfRule>
          <xm:sqref>G25</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54E6CE-07CA-4C86-88DB-79F085AF440C}">
  <sheetPr codeName="Lapas7">
    <tabColor rgb="FF47ABD9"/>
  </sheetPr>
  <dimension ref="A1:H38"/>
  <sheetViews>
    <sheetView showGridLines="0" showRowColHeaders="0" zoomScaleNormal="100" workbookViewId="0"/>
  </sheetViews>
  <sheetFormatPr defaultColWidth="10" defaultRowHeight="13.8" x14ac:dyDescent="0.25"/>
  <cols>
    <col min="1" max="1" width="3.6640625" style="1" customWidth="1"/>
    <col min="2" max="2" width="4.44140625" style="1" customWidth="1"/>
    <col min="3" max="3" width="102" style="1" customWidth="1"/>
    <col min="4" max="4" width="28.33203125" style="1" customWidth="1"/>
    <col min="5" max="5" width="21.109375" style="1" customWidth="1"/>
    <col min="6" max="6" width="21.5546875" style="1" customWidth="1"/>
    <col min="7" max="16384" width="10" style="1"/>
  </cols>
  <sheetData>
    <row r="1" spans="1:8" x14ac:dyDescent="0.25">
      <c r="B1" s="382" t="s">
        <v>19</v>
      </c>
      <c r="C1" s="382"/>
      <c r="D1" s="2"/>
    </row>
    <row r="2" spans="1:8" ht="14.4" thickBot="1" x14ac:dyDescent="0.3">
      <c r="A2" s="12" t="s">
        <v>20</v>
      </c>
    </row>
    <row r="3" spans="1:8" ht="38.25" customHeight="1" thickTop="1" thickBot="1" x14ac:dyDescent="0.3">
      <c r="B3" s="305" t="s">
        <v>326</v>
      </c>
      <c r="C3" s="383"/>
      <c r="D3" s="383"/>
      <c r="E3" s="383"/>
      <c r="F3" s="384"/>
    </row>
    <row r="4" spans="1:8" ht="28.8" thickBot="1" x14ac:dyDescent="0.35">
      <c r="B4" s="104" t="s">
        <v>198</v>
      </c>
      <c r="C4" s="218" t="s">
        <v>219</v>
      </c>
      <c r="D4" s="218" t="s">
        <v>157</v>
      </c>
      <c r="E4" s="453" t="s">
        <v>158</v>
      </c>
      <c r="F4" s="454"/>
    </row>
    <row r="5" spans="1:8" ht="30" customHeight="1" thickBot="1" x14ac:dyDescent="0.3">
      <c r="B5" s="387" t="s">
        <v>159</v>
      </c>
      <c r="C5" s="388"/>
      <c r="D5" s="389"/>
      <c r="E5" s="128" t="s">
        <v>23</v>
      </c>
      <c r="F5" s="129" t="s">
        <v>24</v>
      </c>
    </row>
    <row r="6" spans="1:8" ht="104.25" customHeight="1" x14ac:dyDescent="0.25">
      <c r="B6" s="214" t="s">
        <v>250</v>
      </c>
      <c r="C6" s="188" t="s">
        <v>251</v>
      </c>
      <c r="D6" s="451" t="s">
        <v>252</v>
      </c>
      <c r="E6" s="151" t="s">
        <v>290</v>
      </c>
      <c r="F6" s="153" t="str">
        <f>E6</f>
        <v>Savivaldybių biudžetų atitiktis fiskalinės drausmės taisyklėms bus vertinama 2022 m. birželio mėn.</v>
      </c>
    </row>
    <row r="7" spans="1:8" ht="61.5" customHeight="1" thickBot="1" x14ac:dyDescent="0.3">
      <c r="B7" s="215"/>
      <c r="C7" s="189" t="s">
        <v>253</v>
      </c>
      <c r="D7" s="452"/>
      <c r="E7" s="90" t="s">
        <v>291</v>
      </c>
      <c r="F7" s="125" t="str">
        <f>E7</f>
        <v>Will be assessed in June 2022</v>
      </c>
      <c r="H7" s="45"/>
    </row>
    <row r="8" spans="1:8" ht="34.5" customHeight="1" thickBot="1" x14ac:dyDescent="0.3">
      <c r="B8" s="216"/>
      <c r="C8" s="458" t="s">
        <v>254</v>
      </c>
      <c r="D8" s="459"/>
      <c r="E8" s="79"/>
      <c r="F8" s="124"/>
    </row>
    <row r="9" spans="1:8" ht="29.25" customHeight="1" x14ac:dyDescent="0.25">
      <c r="B9" s="379" t="s">
        <v>255</v>
      </c>
      <c r="C9" s="469" t="s">
        <v>280</v>
      </c>
      <c r="D9" s="451" t="s">
        <v>256</v>
      </c>
      <c r="E9" s="62" t="str">
        <f>IF(E32&gt;=0,"Tiesa","Netiesa")</f>
        <v>Tiesa</v>
      </c>
      <c r="F9" s="63" t="str">
        <f>IF(F32&gt;=0,"Tiesa","Netiesa")</f>
        <v>Tiesa</v>
      </c>
    </row>
    <row r="10" spans="1:8" ht="29.25" customHeight="1" x14ac:dyDescent="0.25">
      <c r="B10" s="380"/>
      <c r="C10" s="470"/>
      <c r="D10" s="457"/>
      <c r="E10" s="152" t="str">
        <f>CONCATENATE(FIXED(E32,1),IF(E32&gt;= 0," ≥ "," &lt; "),FIXED(0,1))</f>
        <v>0,1 ≥ 0,0</v>
      </c>
      <c r="F10" s="103" t="str">
        <f>CONCATENATE(FIXED(F32,1),IF(F32&gt;= 0," ≥ "," &lt; "),FIXED(0,1))</f>
        <v>0,0 ≥ 0,0</v>
      </c>
    </row>
    <row r="11" spans="1:8" ht="35.25" customHeight="1" thickBot="1" x14ac:dyDescent="0.3">
      <c r="B11" s="380"/>
      <c r="C11" s="190" t="s">
        <v>257</v>
      </c>
      <c r="D11" s="452"/>
      <c r="E11" s="90" t="str">
        <f>IF(E9="Tiesa","True","False")</f>
        <v>True</v>
      </c>
      <c r="F11" s="115" t="str">
        <f>IF(F9="Tiesa","True","False")</f>
        <v>True</v>
      </c>
    </row>
    <row r="12" spans="1:8" ht="21.75" customHeight="1" x14ac:dyDescent="0.25">
      <c r="B12" s="380"/>
      <c r="C12" s="460" t="s">
        <v>258</v>
      </c>
      <c r="D12" s="460"/>
      <c r="E12" s="117" t="str">
        <f>IF(E9="Netiesa","Netenkinama","Tenkinama")</f>
        <v>Tenkinama</v>
      </c>
      <c r="F12" s="118" t="str">
        <f>IF(F9="Netiesa","Netenkinama","Tenkinama")</f>
        <v>Tenkinama</v>
      </c>
    </row>
    <row r="13" spans="1:8" ht="21.75" customHeight="1" thickBot="1" x14ac:dyDescent="0.3">
      <c r="B13" s="381"/>
      <c r="C13" s="410" t="s">
        <v>259</v>
      </c>
      <c r="D13" s="410"/>
      <c r="E13" s="116" t="str">
        <f>IF(E12="Tenkinama","Valid","Invalid ")</f>
        <v>Valid</v>
      </c>
      <c r="F13" s="119" t="str">
        <f>IF(F12="Tenkinama","Valid","Invalid ")</f>
        <v>Valid</v>
      </c>
    </row>
    <row r="14" spans="1:8" ht="17.399999999999999" customHeight="1" x14ac:dyDescent="0.25">
      <c r="B14" s="379" t="s">
        <v>260</v>
      </c>
      <c r="C14" s="402" t="s">
        <v>261</v>
      </c>
      <c r="D14" s="471" t="s">
        <v>262</v>
      </c>
      <c r="E14" s="62" t="str">
        <f>IF(E29+eps&lt;0, "Tiesa","Netiesa")</f>
        <v>Tiesa</v>
      </c>
      <c r="F14" s="63" t="str">
        <f>IF(F29+eps&lt;0,"Tiesa","Netiesa")</f>
        <v>Netiesa</v>
      </c>
    </row>
    <row r="15" spans="1:8" ht="38.25" customHeight="1" x14ac:dyDescent="0.25">
      <c r="B15" s="380"/>
      <c r="C15" s="403"/>
      <c r="D15" s="472"/>
      <c r="E15" s="100" t="str">
        <f>CONCATENATE(FIXED(E29,1),IF(E29+eps&lt;0," &lt; "," ≥ "),FIXED(0,1))</f>
        <v>-0,7 &lt; 0,0</v>
      </c>
      <c r="F15" s="122" t="str">
        <f>CONCATENATE(FIXED(F29,1),IF(F29+eps&lt;0," &lt; "," ≥ "),FIXED(0,1))</f>
        <v>0,7 ≥ 0,0</v>
      </c>
    </row>
    <row r="16" spans="1:8" ht="21" customHeight="1" thickBot="1" x14ac:dyDescent="0.3">
      <c r="B16" s="380"/>
      <c r="C16" s="403"/>
      <c r="D16" s="472"/>
      <c r="E16" s="90" t="str">
        <f>IF(E14="Tiesa","True","False")</f>
        <v>True</v>
      </c>
      <c r="F16" s="126" t="str">
        <f>IF(F14="Tiesa","True","False")</f>
        <v>False</v>
      </c>
    </row>
    <row r="17" spans="2:8" ht="18.75" customHeight="1" x14ac:dyDescent="0.25">
      <c r="B17" s="380"/>
      <c r="C17" s="411" t="s">
        <v>263</v>
      </c>
      <c r="D17" s="472" t="s">
        <v>264</v>
      </c>
      <c r="E17" s="64" t="str">
        <f>IF(OR((E29&gt;=0)*(E30&gt;=0),(E29&gt;=0)*(E30&gt;=E31)),"Tiesa","Netiesa")</f>
        <v>Netiesa</v>
      </c>
      <c r="F17" s="63" t="str">
        <f>IF(OR((F29&gt;=0)*(F30&gt;=0),(F29&gt;=0)*(F30&gt;=F31)),"Tiesa","Netiesa")</f>
        <v>Tiesa</v>
      </c>
    </row>
    <row r="18" spans="2:8" ht="47.25" customHeight="1" x14ac:dyDescent="0.25">
      <c r="B18" s="380"/>
      <c r="C18" s="411"/>
      <c r="D18" s="472"/>
      <c r="E18" s="152" t="str">
        <f>CONCATENATE(FIXED(E29,1),,IF(E29&lt;0," &lt; "," ≥ "),FIXED(0,1), " &amp;
","(",
 FIXED(E30,1),IF(E30&gt;=E31," ≥ "," &lt; "), FIXED(E31,1), " arba / or ",FIXED(E30,1),IF(E30&lt;0," &lt; "," ≥ "),FIXED(0,1),")")</f>
        <v>-0,7 &lt; 0,0 &amp;
(0,6 &lt; 0,9 arba / or 0,6 ≥ 0,0)</v>
      </c>
      <c r="F18" s="122" t="str">
        <f>CONCATENATE(FIXED(F29,1),,IF(F29&lt;0," &lt; "," ≥ "),FIXED(0,1), " &amp;
","(", FIXED(F30,1),IF(F30&gt;=F31," ≥ "," &lt; "), FIXED(F31,1), " arba / or ",FIXED(F30,1),IF(F30&lt;0," &lt; "," ≥ "),FIXED(0,1),")")</f>
        <v>0,7 ≥ 0,0 &amp;
(0,5 &lt; 0,8 arba / or 0,5 ≥ 0,0)</v>
      </c>
    </row>
    <row r="19" spans="2:8" ht="18" customHeight="1" thickBot="1" x14ac:dyDescent="0.3">
      <c r="B19" s="380"/>
      <c r="C19" s="412"/>
      <c r="D19" s="473"/>
      <c r="E19" s="90" t="str">
        <f>IF(E17="Tiesa","True","False")</f>
        <v>False</v>
      </c>
      <c r="F19" s="125" t="str">
        <f>IF(F17="Tiesa","True","False")</f>
        <v>True</v>
      </c>
    </row>
    <row r="20" spans="2:8" ht="21" customHeight="1" x14ac:dyDescent="0.25">
      <c r="B20" s="380"/>
      <c r="C20" s="460" t="s">
        <v>265</v>
      </c>
      <c r="D20" s="460"/>
      <c r="E20" s="120" t="str">
        <f>IF(OR(E14="Tiesa",E17="Tiesa"),"Tenkinama","Netenkinama")</f>
        <v>Tenkinama</v>
      </c>
      <c r="F20" s="118" t="str">
        <f>IF(OR(F14="Tiesa",F17="Tiesa"),"Tenkinama","Netenkinama")</f>
        <v>Tenkinama</v>
      </c>
    </row>
    <row r="21" spans="2:8" ht="21" customHeight="1" thickBot="1" x14ac:dyDescent="0.3">
      <c r="B21" s="381"/>
      <c r="C21" s="410" t="s">
        <v>266</v>
      </c>
      <c r="D21" s="410"/>
      <c r="E21" s="123" t="str">
        <f>IF(E20="Tenkinama","Valid","Invalid ")</f>
        <v>Valid</v>
      </c>
      <c r="F21" s="119" t="str">
        <f>IF(F20="Tenkinama","Valid","Invalid ")</f>
        <v>Valid</v>
      </c>
    </row>
    <row r="22" spans="2:8" ht="101.25" customHeight="1" thickBot="1" x14ac:dyDescent="0.3">
      <c r="B22" s="465" t="s">
        <v>267</v>
      </c>
      <c r="C22" s="188" t="s">
        <v>268</v>
      </c>
      <c r="D22" s="219" t="s">
        <v>269</v>
      </c>
      <c r="E22" s="151" t="str">
        <f>E6</f>
        <v>Savivaldybių biudžetų atitiktis fiskalinės drausmės taisyklėms bus vertinama 2022 m. birželio mėn.</v>
      </c>
      <c r="F22" s="153" t="str">
        <f>E6</f>
        <v>Savivaldybių biudžetų atitiktis fiskalinės drausmės taisyklėms bus vertinama 2022 m. birželio mėn.</v>
      </c>
    </row>
    <row r="23" spans="2:8" ht="64.5" customHeight="1" thickBot="1" x14ac:dyDescent="0.3">
      <c r="B23" s="465"/>
      <c r="C23" s="475" t="s">
        <v>270</v>
      </c>
      <c r="D23" s="472" t="s">
        <v>271</v>
      </c>
      <c r="E23" s="464" t="str">
        <f>E7</f>
        <v>Will be assessed in June 2022</v>
      </c>
      <c r="F23" s="463" t="str">
        <f>F7</f>
        <v>Will be assessed in June 2022</v>
      </c>
    </row>
    <row r="24" spans="2:8" ht="42" customHeight="1" thickBot="1" x14ac:dyDescent="0.3">
      <c r="B24" s="465"/>
      <c r="C24" s="476"/>
      <c r="D24" s="473"/>
      <c r="E24" s="464"/>
      <c r="F24" s="463"/>
    </row>
    <row r="25" spans="2:8" ht="19.5" customHeight="1" thickBot="1" x14ac:dyDescent="0.3">
      <c r="B25" s="379"/>
      <c r="C25" s="366" t="s">
        <v>48</v>
      </c>
      <c r="D25" s="474"/>
      <c r="E25" s="120"/>
      <c r="F25" s="153"/>
    </row>
    <row r="26" spans="2:8" ht="19.5" customHeight="1" thickBot="1" x14ac:dyDescent="0.3">
      <c r="B26" s="466"/>
      <c r="C26" s="467" t="s">
        <v>49</v>
      </c>
      <c r="D26" s="468"/>
      <c r="E26" s="52"/>
      <c r="F26" s="121"/>
    </row>
    <row r="27" spans="2:8" ht="15" thickTop="1" thickBot="1" x14ac:dyDescent="0.3">
      <c r="C27" s="53" t="s">
        <v>272</v>
      </c>
      <c r="D27" s="29"/>
      <c r="E27" s="29"/>
      <c r="F27" s="29"/>
      <c r="H27" s="54"/>
    </row>
    <row r="28" spans="2:8" ht="14.4" thickBot="1" x14ac:dyDescent="0.3">
      <c r="C28" s="106" t="s">
        <v>273</v>
      </c>
      <c r="D28" s="54" t="s">
        <v>184</v>
      </c>
      <c r="E28" s="361">
        <v>2022</v>
      </c>
      <c r="F28" s="361"/>
      <c r="H28" s="54"/>
    </row>
    <row r="29" spans="2:8" ht="14.4" thickBot="1" x14ac:dyDescent="0.3">
      <c r="D29" s="54" t="s">
        <v>188</v>
      </c>
      <c r="E29" s="80">
        <f>'2. Macro'!M20</f>
        <v>-0.74900229283476616</v>
      </c>
      <c r="F29" s="81">
        <f>'2. Macro'!M19</f>
        <v>0.65452103691594488</v>
      </c>
      <c r="H29" s="54"/>
    </row>
    <row r="30" spans="2:8" ht="16.8" thickBot="1" x14ac:dyDescent="0.4">
      <c r="D30" s="54" t="s">
        <v>274</v>
      </c>
      <c r="E30" s="80">
        <f>'3. GGbudget'!F31</f>
        <v>0.6301247191367243</v>
      </c>
      <c r="F30" s="81">
        <f>'3. GGbudget'!H31</f>
        <v>0.48919578733099767</v>
      </c>
      <c r="H30" s="54"/>
    </row>
    <row r="31" spans="2:8" ht="16.8" thickBot="1" x14ac:dyDescent="0.4">
      <c r="D31" s="54" t="s">
        <v>275</v>
      </c>
      <c r="E31" s="80">
        <f>'3. GGbudget'!E31</f>
        <v>0.92460272798120113</v>
      </c>
      <c r="F31" s="81">
        <f>'3. GGbudget'!G31</f>
        <v>0.7820670996459973</v>
      </c>
      <c r="G31" s="26"/>
      <c r="H31" s="54"/>
    </row>
    <row r="32" spans="2:8" ht="16.8" thickBot="1" x14ac:dyDescent="0.4">
      <c r="D32" s="54" t="s">
        <v>276</v>
      </c>
      <c r="E32" s="80">
        <f>'3. GGbudget'!F32</f>
        <v>0.11997594528061911</v>
      </c>
      <c r="F32" s="81">
        <f>'3. GGbudget'!H32</f>
        <v>4.9714075985813982E-2</v>
      </c>
      <c r="H32" s="10"/>
    </row>
    <row r="33" spans="4:8" ht="15" thickBot="1" x14ac:dyDescent="0.35">
      <c r="D33" s="10" t="s">
        <v>50</v>
      </c>
      <c r="E33" s="10"/>
      <c r="F33" s="5"/>
      <c r="G33" s="134" t="s">
        <v>277</v>
      </c>
      <c r="H33" s="10"/>
    </row>
    <row r="34" spans="4:8" ht="15" thickBot="1" x14ac:dyDescent="0.35">
      <c r="D34" s="10" t="s">
        <v>52</v>
      </c>
      <c r="E34" s="461" t="s">
        <v>23</v>
      </c>
      <c r="F34" s="462"/>
      <c r="G34" s="134" t="s">
        <v>53</v>
      </c>
      <c r="H34" s="10"/>
    </row>
    <row r="35" spans="4:8" ht="15" thickBot="1" x14ac:dyDescent="0.35">
      <c r="D35" s="10" t="s">
        <v>54</v>
      </c>
      <c r="E35" s="455" t="s">
        <v>24</v>
      </c>
      <c r="F35" s="456"/>
      <c r="G35" s="233" t="s">
        <v>55</v>
      </c>
    </row>
    <row r="36" spans="4:8" x14ac:dyDescent="0.25">
      <c r="E36" s="54"/>
    </row>
    <row r="37" spans="4:8" x14ac:dyDescent="0.25">
      <c r="E37" s="54"/>
      <c r="F37" s="108"/>
    </row>
    <row r="38" spans="4:8" x14ac:dyDescent="0.25">
      <c r="E38" s="54"/>
      <c r="F38" s="108"/>
    </row>
  </sheetData>
  <mergeCells count="28">
    <mergeCell ref="B22:B26"/>
    <mergeCell ref="C26:D26"/>
    <mergeCell ref="C9:C10"/>
    <mergeCell ref="C13:D13"/>
    <mergeCell ref="B9:B13"/>
    <mergeCell ref="C14:C16"/>
    <mergeCell ref="D14:D16"/>
    <mergeCell ref="C21:D21"/>
    <mergeCell ref="B14:B21"/>
    <mergeCell ref="C17:C19"/>
    <mergeCell ref="D17:D19"/>
    <mergeCell ref="C25:D25"/>
    <mergeCell ref="C23:C24"/>
    <mergeCell ref="D23:D24"/>
    <mergeCell ref="E35:F35"/>
    <mergeCell ref="D9:D11"/>
    <mergeCell ref="C8:D8"/>
    <mergeCell ref="C12:D12"/>
    <mergeCell ref="C20:D20"/>
    <mergeCell ref="E34:F34"/>
    <mergeCell ref="E28:F28"/>
    <mergeCell ref="F23:F24"/>
    <mergeCell ref="E23:E24"/>
    <mergeCell ref="D6:D7"/>
    <mergeCell ref="B1:C1"/>
    <mergeCell ref="B3:F3"/>
    <mergeCell ref="E4:F4"/>
    <mergeCell ref="B5:D5"/>
  </mergeCells>
  <hyperlinks>
    <hyperlink ref="B1" location="Content!A1" display="↖ atgal į turinį" xr:uid="{B71953B6-330D-4ED7-8079-C38394BB8B23}"/>
    <hyperlink ref="B1:C1" location="Content!A1" display="↖ atgal į turinį " xr:uid="{BDD87164-81F1-4FEB-8E1C-26DB6BF719FB}"/>
  </hyperlink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iconSet" priority="12" id="{B8369092-41EC-4A9A-AF93-4D2E1F497EF4}">
            <x14:iconSet iconSet="3Symbols" showValue="0" custom="1">
              <x14:cfvo type="percent">
                <xm:f>0</xm:f>
              </x14:cfvo>
              <x14:cfvo type="formula">
                <xm:f>"&lt;=0"</xm:f>
              </x14:cfvo>
              <x14:cfvo type="formula" gte="0">
                <xm:f>0</xm:f>
              </x14:cfvo>
              <x14:cfIcon iconSet="NoIcons" iconId="0"/>
              <x14:cfIcon iconSet="3Symbols" iconId="0"/>
              <x14:cfIcon iconSet="3Symbols" iconId="2"/>
            </x14:iconSet>
          </x14:cfRule>
          <xm:sqref>E14</xm:sqref>
        </x14:conditionalFormatting>
        <x14:conditionalFormatting xmlns:xm="http://schemas.microsoft.com/office/excel/2006/main">
          <x14:cfRule type="iconSet" priority="11" id="{022929F0-4CC2-4A83-827E-3A78B143D8BA}">
            <x14:iconSet iconSet="3Symbols" showValue="0" custom="1">
              <x14:cfvo type="percent">
                <xm:f>0</xm:f>
              </x14:cfvo>
              <x14:cfvo type="formula">
                <xm:f>"&lt;=0"</xm:f>
              </x14:cfvo>
              <x14:cfvo type="formula" gte="0">
                <xm:f>0</xm:f>
              </x14:cfvo>
              <x14:cfIcon iconSet="NoIcons" iconId="0"/>
              <x14:cfIcon iconSet="3Symbols" iconId="0"/>
              <x14:cfIcon iconSet="3Symbols" iconId="2"/>
            </x14:iconSet>
          </x14:cfRule>
          <xm:sqref>F14</xm:sqref>
        </x14:conditionalFormatting>
        <x14:conditionalFormatting xmlns:xm="http://schemas.microsoft.com/office/excel/2006/main">
          <x14:cfRule type="iconSet" priority="10" id="{9F7BAB54-E851-4C5F-AA9A-DD4B1E7D0D87}">
            <x14:iconSet iconSet="3Symbols" showValue="0" custom="1">
              <x14:cfvo type="percent">
                <xm:f>0</xm:f>
              </x14:cfvo>
              <x14:cfvo type="formula">
                <xm:f>"&lt;=0"</xm:f>
              </x14:cfvo>
              <x14:cfvo type="formula" gte="0">
                <xm:f>0</xm:f>
              </x14:cfvo>
              <x14:cfIcon iconSet="NoIcons" iconId="0"/>
              <x14:cfIcon iconSet="3Symbols" iconId="0"/>
              <x14:cfIcon iconSet="3Symbols" iconId="2"/>
            </x14:iconSet>
          </x14:cfRule>
          <xm:sqref>E17</xm:sqref>
        </x14:conditionalFormatting>
        <x14:conditionalFormatting xmlns:xm="http://schemas.microsoft.com/office/excel/2006/main">
          <x14:cfRule type="iconSet" priority="9" id="{0CE319AF-D3E6-4488-8C18-F7FB9A55CB43}">
            <x14:iconSet iconSet="3Symbols" showValue="0" custom="1">
              <x14:cfvo type="percent">
                <xm:f>0</xm:f>
              </x14:cfvo>
              <x14:cfvo type="formula">
                <xm:f>"&lt;=0"</xm:f>
              </x14:cfvo>
              <x14:cfvo type="formula" gte="0">
                <xm:f>0</xm:f>
              </x14:cfvo>
              <x14:cfIcon iconSet="NoIcons" iconId="0"/>
              <x14:cfIcon iconSet="3Symbols" iconId="0"/>
              <x14:cfIcon iconSet="3Symbols" iconId="2"/>
            </x14:iconSet>
          </x14:cfRule>
          <xm:sqref>F17</xm:sqref>
        </x14:conditionalFormatting>
        <x14:conditionalFormatting xmlns:xm="http://schemas.microsoft.com/office/excel/2006/main">
          <x14:cfRule type="iconSet" priority="6" id="{7768F42C-F4EB-4B1C-AD42-D278E6CB6665}">
            <x14:iconSet iconSet="3Symbols" showValue="0" custom="1">
              <x14:cfvo type="percent">
                <xm:f>0</xm:f>
              </x14:cfvo>
              <x14:cfvo type="formula">
                <xm:f>"&lt;=0"</xm:f>
              </x14:cfvo>
              <x14:cfvo type="formula" gte="0">
                <xm:f>0</xm:f>
              </x14:cfvo>
              <x14:cfIcon iconSet="NoIcons" iconId="0"/>
              <x14:cfIcon iconSet="3Symbols" iconId="0"/>
              <x14:cfIcon iconSet="3Symbols" iconId="2"/>
            </x14:iconSet>
          </x14:cfRule>
          <xm:sqref>E9</xm:sqref>
        </x14:conditionalFormatting>
        <x14:conditionalFormatting xmlns:xm="http://schemas.microsoft.com/office/excel/2006/main">
          <x14:cfRule type="iconSet" priority="5" id="{D1789F80-749D-467A-9481-C2282EB8BB01}">
            <x14:iconSet iconSet="3Symbols" showValue="0" custom="1">
              <x14:cfvo type="percent">
                <xm:f>0</xm:f>
              </x14:cfvo>
              <x14:cfvo type="formula">
                <xm:f>"&lt;=0"</xm:f>
              </x14:cfvo>
              <x14:cfvo type="formula" gte="0">
                <xm:f>0</xm:f>
              </x14:cfvo>
              <x14:cfIcon iconSet="NoIcons" iconId="0"/>
              <x14:cfIcon iconSet="3Symbols" iconId="0"/>
              <x14:cfIcon iconSet="3Symbols" iconId="2"/>
            </x14:iconSet>
          </x14:cfRule>
          <xm:sqref>F9</xm:sqref>
        </x14:conditionalFormatting>
        <x14:conditionalFormatting xmlns:xm="http://schemas.microsoft.com/office/excel/2006/main">
          <x14:cfRule type="iconSet" priority="1" id="{BB5EF5DE-FA95-491C-BF0F-28C77E54FF9C}">
            <x14:iconSet iconSet="3Symbols" showValue="0" custom="1">
              <x14:cfvo type="percent">
                <xm:f>0</xm:f>
              </x14:cfvo>
              <x14:cfvo type="formula">
                <xm:f>"&lt;=0"</xm:f>
              </x14:cfvo>
              <x14:cfvo type="formula" gte="0">
                <xm:f>0</xm:f>
              </x14:cfvo>
              <x14:cfIcon iconSet="NoIcons" iconId="0"/>
              <x14:cfIcon iconSet="3Symbols" iconId="0"/>
              <x14:cfIcon iconSet="3Symbols" iconId="2"/>
            </x14:iconSet>
          </x14:cfRule>
          <xm:sqref>F11</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haredWithUsers xmlns="c102cb31-f5d5-4956-a0cb-1590ba369788">
      <UserInfo>
        <DisplayName/>
        <AccountId xsi:nil="true"/>
        <AccountType/>
      </UserInfo>
    </SharedWithUsers>
    <MediaLengthInSeconds xmlns="cef9cdfa-f4fd-4645-9be5-758c49499792"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kumentas" ma:contentTypeID="0x010100F745BF3751E471449C35EB2B2D21EAD1" ma:contentTypeVersion="13" ma:contentTypeDescription="Kurkite naują dokumentą." ma:contentTypeScope="" ma:versionID="985e03e4051eefe0924448369221f2c6">
  <xsd:schema xmlns:xsd="http://www.w3.org/2001/XMLSchema" xmlns:xs="http://www.w3.org/2001/XMLSchema" xmlns:p="http://schemas.microsoft.com/office/2006/metadata/properties" xmlns:ns2="cef9cdfa-f4fd-4645-9be5-758c49499792" xmlns:ns3="c102cb31-f5d5-4956-a0cb-1590ba369788" targetNamespace="http://schemas.microsoft.com/office/2006/metadata/properties" ma:root="true" ma:fieldsID="78274c8af4f7aa1c86700f02b1408373" ns2:_="" ns3:_="">
    <xsd:import namespace="cef9cdfa-f4fd-4645-9be5-758c49499792"/>
    <xsd:import namespace="c102cb31-f5d5-4956-a0cb-1590ba369788"/>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DateTaken" minOccurs="0"/>
                <xsd:element ref="ns2:MediaServiceLocation" minOccurs="0"/>
                <xsd:element ref="ns2:MediaServiceOCR" minOccurs="0"/>
                <xsd:element ref="ns3:SharedWithUsers" minOccurs="0"/>
                <xsd:element ref="ns3:SharedWithDetails" minOccurs="0"/>
                <xsd:element ref="ns2:MediaServiceAutoKeyPoints" minOccurs="0"/>
                <xsd:element ref="ns2:MediaServiceKeyPoint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ef9cdfa-f4fd-4645-9be5-758c4949979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3" nillable="true" ma:displayName="MediaServiceDateTaken" ma:hidden="true" ma:internalName="MediaServiceDateTaken"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102cb31-f5d5-4956-a0cb-1590ba369788" elementFormDefault="qualified">
    <xsd:import namespace="http://schemas.microsoft.com/office/2006/documentManagement/types"/>
    <xsd:import namespace="http://schemas.microsoft.com/office/infopath/2007/PartnerControls"/>
    <xsd:element name="SharedWithUsers" ma:index="16"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Bendrinta su išsamia informacija"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780A987-4A38-4293-857B-392ED21F9808}">
  <ds:schemaRefs>
    <ds:schemaRef ds:uri="http://schemas.microsoft.com/sharepoint/v3/contenttype/forms"/>
  </ds:schemaRefs>
</ds:datastoreItem>
</file>

<file path=customXml/itemProps2.xml><?xml version="1.0" encoding="utf-8"?>
<ds:datastoreItem xmlns:ds="http://schemas.openxmlformats.org/officeDocument/2006/customXml" ds:itemID="{D082EF8B-66EA-4F82-A307-9453EED8E315}">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cef9cdfa-f4fd-4645-9be5-758c49499792"/>
    <ds:schemaRef ds:uri="c102cb31-f5d5-4956-a0cb-1590ba369788"/>
    <ds:schemaRef ds:uri="http://purl.org/dc/terms/"/>
    <ds:schemaRef ds:uri="http://schemas.openxmlformats.org/package/2006/metadata/core-properties"/>
    <ds:schemaRef ds:uri="http://www.w3.org/XML/1998/namespace"/>
    <ds:schemaRef ds:uri="http://purl.org/dc/dcmitype/"/>
  </ds:schemaRefs>
</ds:datastoreItem>
</file>

<file path=customXml/itemProps3.xml><?xml version="1.0" encoding="utf-8"?>
<ds:datastoreItem xmlns:ds="http://schemas.openxmlformats.org/officeDocument/2006/customXml" ds:itemID="{F53798CE-02C0-48FB-A26A-4B7D1452276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ef9cdfa-f4fd-4645-9be5-758c49499792"/>
    <ds:schemaRef ds:uri="c102cb31-f5d5-4956-a0cb-1590ba36978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7</vt:i4>
      </vt:variant>
      <vt:variant>
        <vt:lpstr>Įvardytieji diapazonai</vt:lpstr>
      </vt:variant>
      <vt:variant>
        <vt:i4>1</vt:i4>
      </vt:variant>
    </vt:vector>
  </HeadingPairs>
  <TitlesOfParts>
    <vt:vector size="8" baseType="lpstr">
      <vt:lpstr>Content</vt:lpstr>
      <vt:lpstr>1. Summary</vt:lpstr>
      <vt:lpstr>2. Macro</vt:lpstr>
      <vt:lpstr>3. GGbudget</vt:lpstr>
      <vt:lpstr>4. SurplusGG</vt:lpstr>
      <vt:lpstr>5. GGexpenditure</vt:lpstr>
      <vt:lpstr>6. GGbudgets</vt:lpstr>
      <vt:lpstr>eps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Milda Pieškutė</dc:creator>
  <cp:keywords/>
  <dc:description/>
  <cp:lastModifiedBy>Viktorija Bindoriūtė-Sakalauskė</cp:lastModifiedBy>
  <cp:revision/>
  <dcterms:created xsi:type="dcterms:W3CDTF">2021-04-14T11:35:04Z</dcterms:created>
  <dcterms:modified xsi:type="dcterms:W3CDTF">2022-05-05T08:19:10Z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0x010100F745BF3751E471449C35EB2B2D21EAD1</vt:lpwstr>
  </property>
  <property fmtid="{D5CDD505-2E9C-101B-9397-08002B2CF9AE}" pid="3" name="ComplianceAssetId">
    <vt:lpwstr/>
  </property>
  <property fmtid="{D5CDD505-2E9C-101B-9397-08002B2CF9AE}" pid="4" name="_ExtendedDescription">
    <vt:lpwstr/>
  </property>
  <property fmtid="{D5CDD505-2E9C-101B-9397-08002B2CF9AE}" pid="5" name="Order">
    <vt:r8>16158300</vt:r8>
  </property>
  <property fmtid="{D5CDD505-2E9C-101B-9397-08002B2CF9AE}" pid="6" name="TriggerFlowInfo">
    <vt:lpwstr/>
  </property>
</Properties>
</file>