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Šios_darbaknygės"/>
  <mc:AlternateContent xmlns:mc="http://schemas.openxmlformats.org/markup-compatibility/2006">
    <mc:Choice Requires="x15">
      <x15ac:absPath xmlns:x15ac="http://schemas.microsoft.com/office/spreadsheetml/2010/11/ac" url="C:\Users\vbindoriute\Desktop\"/>
    </mc:Choice>
  </mc:AlternateContent>
  <xr:revisionPtr revIDLastSave="0" documentId="13_ncr:1_{D9ED244F-DCF2-4206-92A8-E37A1B6A87AE}" xr6:coauthVersionLast="36" xr6:coauthVersionMax="36" xr10:uidLastSave="{00000000-0000-0000-0000-000000000000}"/>
  <bookViews>
    <workbookView xWindow="0" yWindow="0" windowWidth="20496" windowHeight="6348"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s>
  <definedNames>
    <definedName name="eps">'2. Macro'!$D$47</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1" i="6" l="1"/>
  <c r="G31" i="6"/>
  <c r="F26" i="6"/>
  <c r="G26" i="6"/>
  <c r="G24" i="6"/>
  <c r="F24" i="6"/>
  <c r="G23" i="6"/>
  <c r="F23" i="6"/>
  <c r="C7" i="2"/>
  <c r="C6" i="2"/>
  <c r="G34" i="6"/>
  <c r="F34" i="6"/>
  <c r="G32" i="6"/>
  <c r="F32" i="6"/>
  <c r="F7" i="6"/>
  <c r="F6" i="6"/>
  <c r="G8" i="6"/>
  <c r="G9" i="6" s="1"/>
  <c r="G56" i="6" l="1"/>
  <c r="F56" i="6"/>
  <c r="F55" i="6"/>
  <c r="F21" i="4" l="1"/>
  <c r="F39" i="6" l="1"/>
  <c r="D36" i="3" l="1"/>
  <c r="K36" i="3"/>
  <c r="K35" i="3"/>
  <c r="E29" i="7" l="1"/>
  <c r="H29" i="4" l="1"/>
  <c r="G29" i="4"/>
  <c r="H7" i="4"/>
  <c r="H19" i="4"/>
  <c r="G19" i="4"/>
  <c r="H17" i="4"/>
  <c r="G17" i="4"/>
  <c r="E21" i="4" l="1"/>
  <c r="F40" i="6" l="1"/>
  <c r="H21" i="4"/>
  <c r="G21" i="4"/>
  <c r="E7" i="4" l="1"/>
  <c r="M23" i="3"/>
  <c r="H23" i="4" l="1"/>
  <c r="G23" i="4"/>
  <c r="M29" i="3"/>
  <c r="M27" i="3"/>
  <c r="L21" i="3"/>
  <c r="F7" i="4"/>
  <c r="F8" i="6"/>
  <c r="K20" i="3" l="1"/>
  <c r="E19" i="3"/>
  <c r="F19" i="3"/>
  <c r="G19" i="3"/>
  <c r="H19" i="3"/>
  <c r="I19" i="3"/>
  <c r="J19" i="3"/>
  <c r="K19" i="3"/>
  <c r="L19" i="3"/>
  <c r="M20" i="3"/>
  <c r="M19" i="3"/>
  <c r="M18" i="3"/>
  <c r="M17" i="3"/>
  <c r="M12" i="3"/>
  <c r="M11" i="3"/>
  <c r="L8" i="3"/>
  <c r="L7" i="3"/>
  <c r="F15" i="7" l="1"/>
  <c r="N19" i="3"/>
  <c r="O19" i="3"/>
  <c r="E23" i="7" l="1"/>
  <c r="E14" i="7"/>
  <c r="M25" i="3"/>
  <c r="E15" i="7"/>
  <c r="F29" i="7"/>
  <c r="F14" i="7" s="1"/>
  <c r="G52" i="6"/>
  <c r="F52" i="6"/>
  <c r="G17" i="6"/>
  <c r="F17" i="6"/>
  <c r="G18" i="6" s="1"/>
  <c r="G19" i="6" l="1"/>
  <c r="F19" i="6"/>
  <c r="F18" i="6"/>
  <c r="K27" i="3"/>
  <c r="K29" i="3"/>
  <c r="F31" i="5"/>
  <c r="E31" i="5"/>
  <c r="H6" i="4"/>
  <c r="G6" i="4"/>
  <c r="G5" i="4"/>
  <c r="F6" i="4"/>
  <c r="E6" i="4"/>
  <c r="E8" i="4" s="1"/>
  <c r="E18" i="4" l="1"/>
  <c r="E20" i="4"/>
  <c r="E12" i="4"/>
  <c r="E24" i="4"/>
  <c r="E22" i="4"/>
  <c r="H28" i="4"/>
  <c r="H20" i="4"/>
  <c r="H18" i="4"/>
  <c r="H24" i="4"/>
  <c r="F16" i="4"/>
  <c r="F20" i="4"/>
  <c r="F22" i="4"/>
  <c r="F12" i="4"/>
  <c r="F24" i="4"/>
  <c r="F18" i="4"/>
  <c r="H8" i="4"/>
  <c r="H30" i="4" s="1"/>
  <c r="F10" i="4"/>
  <c r="F14" i="4"/>
  <c r="F8" i="4"/>
  <c r="F30" i="4" s="1"/>
  <c r="G28" i="4"/>
  <c r="G20" i="4"/>
  <c r="G18" i="4"/>
  <c r="G24" i="4"/>
  <c r="L23" i="3"/>
  <c r="G22" i="3" l="1"/>
  <c r="N12" i="3"/>
  <c r="N11" i="3"/>
  <c r="O20" i="3"/>
  <c r="D14" i="3" l="1"/>
  <c r="D19" i="3" l="1"/>
  <c r="F23" i="7" l="1"/>
  <c r="K13" i="3" l="1"/>
  <c r="K9" i="3" l="1"/>
  <c r="E5" i="3" l="1"/>
  <c r="F5" i="3"/>
  <c r="G5" i="3"/>
  <c r="H5" i="3"/>
  <c r="I5" i="3"/>
  <c r="J5" i="3"/>
  <c r="K5" i="3"/>
  <c r="L17" i="3" l="1"/>
  <c r="N17" i="3"/>
  <c r="O17" i="3"/>
  <c r="L18" i="3"/>
  <c r="N18" i="3"/>
  <c r="O18" i="3"/>
  <c r="K17" i="3"/>
  <c r="L11" i="3"/>
  <c r="O11" i="3" s="1"/>
  <c r="L12" i="3"/>
  <c r="M8" i="3"/>
  <c r="N8" i="3" s="1"/>
  <c r="O8" i="3" s="1"/>
  <c r="M7" i="3"/>
  <c r="N7" i="3" s="1"/>
  <c r="O7" i="3" s="1"/>
  <c r="O12" i="3" l="1"/>
  <c r="L20" i="3"/>
  <c r="L22" i="3" s="1"/>
  <c r="O27" i="3"/>
  <c r="O28" i="3"/>
  <c r="L28" i="3"/>
  <c r="O22" i="3"/>
  <c r="O24" i="3"/>
  <c r="O26" i="3"/>
  <c r="O21" i="3"/>
  <c r="O23" i="3"/>
  <c r="O25" i="3"/>
  <c r="M28" i="3"/>
  <c r="L27" i="3"/>
  <c r="N20" i="3"/>
  <c r="N28" i="3"/>
  <c r="N27" i="3"/>
  <c r="F13" i="3"/>
  <c r="G13" i="3"/>
  <c r="H13" i="3"/>
  <c r="I13" i="3"/>
  <c r="J13" i="3"/>
  <c r="F10" i="3"/>
  <c r="G10" i="3"/>
  <c r="H10" i="3"/>
  <c r="I10" i="3"/>
  <c r="J10" i="3"/>
  <c r="K10" i="3"/>
  <c r="F9" i="3"/>
  <c r="G9" i="3"/>
  <c r="H9" i="3"/>
  <c r="I9" i="3"/>
  <c r="J9" i="3"/>
  <c r="M30" i="3" l="1"/>
  <c r="N30" i="3"/>
  <c r="N29" i="3"/>
  <c r="O29" i="3"/>
  <c r="O30" i="3"/>
  <c r="L25" i="3"/>
  <c r="M21" i="3"/>
  <c r="N21" i="3"/>
  <c r="N23" i="3"/>
  <c r="N25" i="3"/>
  <c r="L24" i="3"/>
  <c r="L26" i="3"/>
  <c r="M22" i="3"/>
  <c r="M24" i="3"/>
  <c r="M26" i="3"/>
  <c r="N22" i="3"/>
  <c r="N24" i="3"/>
  <c r="N26" i="3"/>
  <c r="E10" i="4"/>
  <c r="H5" i="4"/>
  <c r="G17" i="3" l="1"/>
  <c r="K28" i="3" l="1"/>
  <c r="L30" i="3" s="1"/>
  <c r="K21" i="3"/>
  <c r="E7" i="5" l="1"/>
  <c r="E6" i="5"/>
  <c r="D26" i="3"/>
  <c r="D38" i="3" s="1"/>
  <c r="J20" i="3" l="1"/>
  <c r="J26" i="3" l="1"/>
  <c r="F43" i="6" l="1"/>
  <c r="D26" i="2" l="1"/>
  <c r="D25" i="2"/>
  <c r="C26" i="2"/>
  <c r="C25" i="2"/>
  <c r="D32" i="2"/>
  <c r="D31" i="2"/>
  <c r="C32" i="2"/>
  <c r="C31" i="2"/>
  <c r="E21" i="5" l="1"/>
  <c r="F23" i="5"/>
  <c r="E23" i="5"/>
  <c r="F21" i="5"/>
  <c r="F20" i="5"/>
  <c r="E20" i="5"/>
  <c r="D12" i="2" l="1"/>
  <c r="C12" i="2"/>
  <c r="E36" i="5"/>
  <c r="E39" i="5"/>
  <c r="E38" i="5"/>
  <c r="E37" i="5"/>
  <c r="F22" i="5"/>
  <c r="D11" i="2" s="1"/>
  <c r="E32" i="5"/>
  <c r="E30" i="5"/>
  <c r="F18" i="5" l="1"/>
  <c r="E18" i="5"/>
  <c r="E17" i="5"/>
  <c r="E19" i="5" s="1"/>
  <c r="F17" i="5"/>
  <c r="F19" i="5" s="1"/>
  <c r="E40" i="5"/>
  <c r="D9" i="2"/>
  <c r="C10" i="2" l="1"/>
  <c r="D10" i="2"/>
  <c r="E22" i="5"/>
  <c r="C11" i="2" s="1"/>
  <c r="C9" i="2"/>
  <c r="F44" i="6" l="1"/>
  <c r="G20" i="6" l="1"/>
  <c r="G21" i="6" s="1"/>
  <c r="G22" i="6" l="1"/>
  <c r="G68" i="6"/>
  <c r="I68" i="6" s="1"/>
  <c r="F67" i="6" l="1"/>
  <c r="H67" i="6" s="1"/>
  <c r="G43" i="6" l="1"/>
  <c r="G44" i="6"/>
  <c r="G7" i="4"/>
  <c r="G8" i="4" s="1"/>
  <c r="G30" i="4" s="1"/>
  <c r="H11" i="4"/>
  <c r="H12" i="4" s="1"/>
  <c r="H32" i="4" s="1"/>
  <c r="F32" i="7" s="1"/>
  <c r="G11" i="4"/>
  <c r="G12" i="4" s="1"/>
  <c r="G32" i="4" s="1"/>
  <c r="F10" i="7" l="1"/>
  <c r="F9" i="7"/>
  <c r="H22" i="4"/>
  <c r="G40" i="6"/>
  <c r="G54" i="6" s="1"/>
  <c r="H10" i="4"/>
  <c r="E30" i="4"/>
  <c r="J36" i="3"/>
  <c r="I36" i="3"/>
  <c r="H36" i="3"/>
  <c r="G36" i="3"/>
  <c r="F36" i="3"/>
  <c r="E36" i="3"/>
  <c r="J35" i="3"/>
  <c r="I35" i="3"/>
  <c r="H35" i="3"/>
  <c r="G35" i="3"/>
  <c r="F35" i="3"/>
  <c r="E35" i="3"/>
  <c r="D35" i="3"/>
  <c r="K32" i="3"/>
  <c r="J32" i="3"/>
  <c r="I32" i="3"/>
  <c r="H32" i="3"/>
  <c r="G32" i="3"/>
  <c r="F32" i="3"/>
  <c r="F9" i="6" s="1"/>
  <c r="D32" i="3"/>
  <c r="D30" i="3"/>
  <c r="D29" i="3"/>
  <c r="J28" i="3"/>
  <c r="K30" i="3" s="1"/>
  <c r="I28" i="3"/>
  <c r="H28" i="3"/>
  <c r="G28" i="3"/>
  <c r="F28" i="3"/>
  <c r="E28" i="3"/>
  <c r="D28" i="3"/>
  <c r="L29" i="3"/>
  <c r="J27" i="3"/>
  <c r="I27" i="3"/>
  <c r="H27" i="3"/>
  <c r="G27" i="3"/>
  <c r="F27" i="3"/>
  <c r="E27" i="3"/>
  <c r="D27" i="3"/>
  <c r="D39" i="3"/>
  <c r="D25" i="3"/>
  <c r="D24" i="3"/>
  <c r="D23" i="3"/>
  <c r="D22" i="3"/>
  <c r="D21" i="3"/>
  <c r="I20" i="3"/>
  <c r="I26" i="3" s="1"/>
  <c r="H20" i="3"/>
  <c r="G20" i="3"/>
  <c r="F20" i="3"/>
  <c r="E20" i="3"/>
  <c r="D20" i="3"/>
  <c r="K25" i="3"/>
  <c r="I23" i="3"/>
  <c r="K18" i="3"/>
  <c r="J18" i="3"/>
  <c r="I18" i="3"/>
  <c r="H18" i="3"/>
  <c r="G18" i="3"/>
  <c r="F18" i="3"/>
  <c r="D18" i="3"/>
  <c r="J17" i="3"/>
  <c r="I17" i="3"/>
  <c r="H17" i="3"/>
  <c r="F17" i="3"/>
  <c r="D17" i="3"/>
  <c r="K14" i="3"/>
  <c r="J14" i="3"/>
  <c r="I14" i="3"/>
  <c r="H14" i="3"/>
  <c r="G14" i="3"/>
  <c r="F14" i="3"/>
  <c r="D13" i="3"/>
  <c r="D11" i="3"/>
  <c r="D10" i="3"/>
  <c r="D9" i="3"/>
  <c r="L5" i="3"/>
  <c r="F14" i="6" l="1"/>
  <c r="F15" i="6" s="1"/>
  <c r="G39" i="6"/>
  <c r="G53" i="6" s="1"/>
  <c r="G67" i="6"/>
  <c r="I67" i="6" s="1"/>
  <c r="G14" i="6"/>
  <c r="I29" i="3"/>
  <c r="H30" i="3"/>
  <c r="G46" i="6"/>
  <c r="G45" i="6"/>
  <c r="F46" i="6"/>
  <c r="F45" i="6"/>
  <c r="J21" i="3"/>
  <c r="J23" i="3"/>
  <c r="K26" i="3"/>
  <c r="K24" i="3"/>
  <c r="K22" i="3"/>
  <c r="G10" i="4"/>
  <c r="E26" i="4"/>
  <c r="E31" i="4" s="1"/>
  <c r="G29" i="3"/>
  <c r="F30" i="3"/>
  <c r="J30" i="3"/>
  <c r="F26" i="4"/>
  <c r="F31" i="4" s="1"/>
  <c r="E28" i="4"/>
  <c r="E32" i="4" s="1"/>
  <c r="F28" i="4"/>
  <c r="F32" i="4" s="1"/>
  <c r="E32" i="7" s="1"/>
  <c r="E10" i="7" s="1"/>
  <c r="G16" i="4"/>
  <c r="G26" i="4"/>
  <c r="H14" i="4"/>
  <c r="H26" i="4"/>
  <c r="H31" i="4" s="1"/>
  <c r="G22" i="4"/>
  <c r="H16" i="4"/>
  <c r="G14" i="4"/>
  <c r="F29" i="3"/>
  <c r="I30" i="3"/>
  <c r="J29" i="3"/>
  <c r="H29" i="3"/>
  <c r="G30" i="3"/>
  <c r="O5" i="3"/>
  <c r="N5" i="3"/>
  <c r="M5" i="3"/>
  <c r="F21" i="3"/>
  <c r="H22" i="3"/>
  <c r="G21" i="3"/>
  <c r="E22" i="3"/>
  <c r="I22" i="3"/>
  <c r="K23" i="3"/>
  <c r="I24" i="3"/>
  <c r="I25" i="3"/>
  <c r="H21" i="3"/>
  <c r="F22" i="3"/>
  <c r="J22" i="3"/>
  <c r="J24" i="3"/>
  <c r="J25" i="3"/>
  <c r="E21" i="3"/>
  <c r="I21" i="3"/>
  <c r="F16" i="6" l="1"/>
  <c r="G31" i="4"/>
  <c r="G55" i="6"/>
  <c r="F29" i="5"/>
  <c r="F28" i="5"/>
  <c r="E31" i="7"/>
  <c r="G15" i="6"/>
  <c r="F31" i="7"/>
  <c r="E30" i="7"/>
  <c r="E28" i="5"/>
  <c r="F66" i="6"/>
  <c r="H66" i="6" s="1"/>
  <c r="F30" i="7"/>
  <c r="G66" i="6"/>
  <c r="I66" i="6" s="1"/>
  <c r="G16" i="6"/>
  <c r="F20" i="6"/>
  <c r="F21" i="6" s="1"/>
  <c r="F64" i="6"/>
  <c r="F10" i="6"/>
  <c r="E29" i="5"/>
  <c r="G64" i="6"/>
  <c r="G10" i="6"/>
  <c r="G11" i="6"/>
  <c r="G12" i="6" s="1"/>
  <c r="F11" i="6"/>
  <c r="F12" i="6" s="1"/>
  <c r="E16" i="7"/>
  <c r="F16" i="7"/>
  <c r="E9" i="5" l="1"/>
  <c r="E14" i="5"/>
  <c r="E11" i="5"/>
  <c r="F18" i="7"/>
  <c r="F17" i="7"/>
  <c r="F19" i="7" s="1"/>
  <c r="E12" i="5"/>
  <c r="E18" i="7"/>
  <c r="F9" i="5"/>
  <c r="F12" i="7"/>
  <c r="I64" i="6"/>
  <c r="H64" i="6"/>
  <c r="F8" i="5"/>
  <c r="F10" i="5" s="1"/>
  <c r="E17" i="7"/>
  <c r="E20" i="7" s="1"/>
  <c r="F22" i="6"/>
  <c r="F68" i="6"/>
  <c r="H68" i="6" s="1"/>
  <c r="F65" i="6"/>
  <c r="H65" i="6" s="1"/>
  <c r="F13" i="6"/>
  <c r="E8" i="5"/>
  <c r="E10" i="5" s="1"/>
  <c r="G13" i="6"/>
  <c r="G65" i="6"/>
  <c r="I65" i="6" s="1"/>
  <c r="E9" i="7"/>
  <c r="E11" i="7" s="1"/>
  <c r="G28" i="6" l="1"/>
  <c r="D22" i="2" s="1"/>
  <c r="F29" i="6"/>
  <c r="F28" i="6"/>
  <c r="C22" i="2" s="1"/>
  <c r="E19" i="7"/>
  <c r="C29" i="2"/>
  <c r="F11" i="7"/>
  <c r="F20" i="7"/>
  <c r="D29" i="2" s="1"/>
  <c r="E12" i="7"/>
  <c r="E13" i="7" s="1"/>
  <c r="C28" i="2" s="1"/>
  <c r="F69" i="6"/>
  <c r="F25" i="6"/>
  <c r="G69" i="6"/>
  <c r="C14" i="2"/>
  <c r="G25" i="6"/>
  <c r="D14" i="2"/>
  <c r="F13" i="7"/>
  <c r="D28" i="2" s="1"/>
  <c r="D27" i="2"/>
  <c r="G29" i="6" l="1"/>
  <c r="G33" i="6"/>
  <c r="C27" i="2"/>
  <c r="F21" i="7"/>
  <c r="D30" i="2" s="1"/>
  <c r="C19" i="2"/>
  <c r="F33" i="6"/>
  <c r="E21" i="7"/>
  <c r="C30" i="2" s="1"/>
  <c r="F15" i="5"/>
  <c r="F12" i="5"/>
  <c r="D15" i="2"/>
  <c r="C18" i="2"/>
  <c r="C15" i="2"/>
  <c r="C21" i="2"/>
  <c r="D17" i="2"/>
  <c r="D21" i="2"/>
  <c r="F30" i="6"/>
  <c r="C17" i="2"/>
  <c r="G30" i="6"/>
  <c r="D16" i="2"/>
  <c r="C16" i="2"/>
  <c r="F11" i="5"/>
  <c r="F13" i="5" s="1"/>
  <c r="F14" i="5"/>
  <c r="F16" i="5" s="1"/>
  <c r="C20" i="2" l="1"/>
  <c r="C23" i="2"/>
  <c r="D20" i="2"/>
  <c r="D23" i="2"/>
  <c r="D19" i="2"/>
  <c r="D18" i="2"/>
  <c r="E15" i="5"/>
  <c r="E16" i="5"/>
  <c r="E1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<sst xmlns="http://schemas.openxmlformats.org/spreadsheetml/2006/main" count="405" uniqueCount="309">
  <si>
    <t xml:space="preserve">FISKALINĖS DRAUSMĖS TAISYKLIŲ LAIKYMOSI SKAIČIUOKLĖ / 
SPREADSHEET OF THE FULFILMENT OF FISCAL DISCIPLINE RULES  </t>
  </si>
  <si>
    <t>APRAŠYMAS / DESCRIPTION</t>
  </si>
  <si>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</si>
  <si>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</si>
  <si>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</si>
  <si>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</si>
  <si>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</si>
  <si>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</si>
  <si>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5. VS išlaidų augimo ribojimo taisyklė / GG expenditure growth limiting rule</t>
  </si>
  <si>
    <t>6. VS priskiriamų biudžetų taisyklė / Rules for the budgets attributable to GG sector</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</si>
  <si>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</si>
  <si>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</si>
  <si>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</si>
  <si>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</si>
  <si>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</si>
  <si>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</si>
  <si>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</si>
  <si>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</si>
  <si>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</si>
  <si>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 Turinys  / Content</t>
  </si>
  <si>
    <t>LT</t>
  </si>
  <si>
    <t>Taisyklė / Rule</t>
  </si>
  <si>
    <r>
      <t xml:space="preserve">Institucija, kurios projekcijų pagrindu atliekama analizė
</t>
    </r>
    <r>
      <rPr>
        <i/>
        <sz val="11"/>
        <rFont val="Arial"/>
        <family val="2"/>
        <charset val="186"/>
      </rPr>
      <t>Institution, projections of which are used for the analysis</t>
    </r>
  </si>
  <si>
    <t>FM</t>
  </si>
  <si>
    <t>VK FI</t>
  </si>
  <si>
    <t>Perteklinio VS taisyklė / Surplus GG sector rule</t>
  </si>
  <si>
    <t xml:space="preserve">Ar patenkinta bent viena perteklinio VS taisyklės sąlygų?
</t>
  </si>
  <si>
    <t>Is at least one condition of the surplus GG rule satisfied?</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</si>
  <si>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</si>
  <si>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</si>
  <si>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</si>
  <si>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</si>
  <si>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</si>
  <si>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</si>
  <si>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Is GG expenditure growth limiting rule applied?</t>
  </si>
  <si>
    <t>Ar galioja VS išlaidų augimo ribojimo taisyklė?</t>
  </si>
  <si>
    <t>Is GG expenditure growth limiting rule valid?</t>
  </si>
  <si>
    <t>VS priskiriamų biudžetų taisyklės / Rules for the budgets attributable to GG sector</t>
  </si>
  <si>
    <t>Netikrinama</t>
  </si>
  <si>
    <r>
      <t xml:space="preserve">Savivaldybių (j), kurių asignavimai didesni nei 0,3 proc. nominalaus BVP, </t>
    </r>
    <r>
      <rPr>
        <sz val="11"/>
        <color rgb="FF000000"/>
        <rFont val="Arial"/>
        <family val="2"/>
        <charset val="186"/>
      </rPr>
      <t>struktūrinio biudžeto (SB) taisyklė</t>
    </r>
  </si>
  <si>
    <t>Structural budget rule for local governments (j) with appropriations  exceeding 0,3 % of nominal GDP</t>
  </si>
  <si>
    <t>Taisyklė PSDF struktūriniam biudžetui</t>
  </si>
  <si>
    <t>Rule for NHIF structural budget</t>
  </si>
  <si>
    <t>Taisyklė VSDF struktūriniam biudžetui</t>
  </si>
  <si>
    <t>Rule for SSIF structural budget</t>
  </si>
  <si>
    <t>Taisyklė savivaldybių (j) asignavimams, kurie neviršija 0,3 proc. BVP</t>
  </si>
  <si>
    <t>Rule for local governments (j) appropriations of which does not exceed 0.3 % of GDP</t>
  </si>
  <si>
    <t>Šaltiniai:</t>
  </si>
  <si>
    <t>Sources:</t>
  </si>
  <si>
    <t>Finansų ministerija</t>
  </si>
  <si>
    <t>Ministry of Finance</t>
  </si>
  <si>
    <t>Valstybės kontrolė, vykdanti fiskalinės institucijos funkcijas</t>
  </si>
  <si>
    <t>National Audit Office of Lithuania, implementing the functions of the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</si>
  <si>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</si>
  <si>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</si>
  <si>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</si>
  <si>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</si>
  <si>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r>
      <rPr>
        <sz val="11"/>
        <rFont val="Arial"/>
        <family val="2"/>
        <charset val="186"/>
      </rPr>
      <t xml:space="preserve">2021 Projekcijos </t>
    </r>
    <r>
      <rPr>
        <i/>
        <sz val="11"/>
        <rFont val="Arial"/>
        <family val="2"/>
        <charset val="186"/>
      </rPr>
      <t xml:space="preserve">/ </t>
    </r>
    <r>
      <rPr>
        <sz val="11"/>
        <rFont val="Arial"/>
        <family val="2"/>
        <charset val="186"/>
      </rPr>
      <t>Projections</t>
    </r>
  </si>
  <si>
    <t>Laikas / Time</t>
  </si>
  <si>
    <t>T</t>
  </si>
  <si>
    <t>t−2</t>
  </si>
  <si>
    <t>t−1</t>
  </si>
  <si>
    <t>t</t>
  </si>
  <si>
    <t>t+1</t>
  </si>
  <si>
    <t>t+2</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</si>
  <si>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</si>
  <si>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</si>
  <si>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</si>
  <si>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</si>
  <si>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</si>
  <si>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</si>
  <si>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</si>
  <si>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</si>
  <si>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</si>
  <si>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</si>
  <si>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</si>
  <si>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</si>
  <si>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</si>
  <si>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</si>
  <si>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</si>
  <si>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</si>
  <si>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</si>
  <si>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</si>
  <si>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</si>
  <si>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</si>
  <si>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r>
      <t xml:space="preserve">BVP defliatorius, 2015 = 100
</t>
    </r>
    <r>
      <rPr>
        <i/>
        <sz val="11"/>
        <color rgb="FF000000"/>
        <rFont val="Arial"/>
        <family val="2"/>
        <charset val="186"/>
      </rPr>
      <t>GDP deflator, 2015 = 100</t>
    </r>
  </si>
  <si>
    <t>P(T) = YN(T)/YR(T)</t>
  </si>
  <si>
    <r>
      <t xml:space="preserve">BVP defliatorius, metinis augimas proc.
</t>
    </r>
    <r>
      <rPr>
        <i/>
        <sz val="11"/>
        <color rgb="FF000000"/>
        <rFont val="Arial"/>
        <family val="2"/>
        <charset val="186"/>
      </rPr>
      <t>GDP deflator, annual % change</t>
    </r>
  </si>
  <si>
    <t>ΔP(T)=(P(T)/P(T–1)–1)∙100</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</si>
  <si>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</si>
  <si>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</si>
  <si>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</si>
  <si>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</si>
  <si>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</si>
  <si>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</si>
  <si>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</si>
  <si>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</si>
  <si>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</si>
  <si>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</si>
  <si>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</si>
  <si>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</si>
  <si>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</si>
  <si>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</si>
  <si>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Europos Komisija, Eurostatas, Lietuvos statistikos departamentas</t>
  </si>
  <si>
    <t>Finansų ministerija (FM)</t>
  </si>
  <si>
    <t>Valstybės kontrolės, vykdančios fiskalinės institucijos funkcijas, skaičiavimai</t>
  </si>
  <si>
    <t>National Audit Office of Lithuania, implementing the functions of the fiscal institution, calculations</t>
  </si>
  <si>
    <t>ERS – ekonominės raidos scenarijus</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</si>
  <si>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</si>
  <si>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</si>
  <si>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</si>
  <si>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</si>
  <si>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</si>
  <si>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</si>
  <si>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</si>
  <si>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</si>
  <si>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</si>
  <si>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</si>
  <si>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</si>
  <si>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</si>
  <si>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</si>
  <si>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</si>
  <si>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</si>
  <si>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</si>
  <si>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</si>
  <si>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</si>
  <si>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</si>
  <si>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r>
      <t xml:space="preserve">Centrinė valdžia, be pervedimų SAF
</t>
    </r>
    <r>
      <rPr>
        <i/>
        <sz val="11"/>
        <rFont val="Arial"/>
        <family val="2"/>
        <charset val="186"/>
      </rPr>
      <t>Central government, net of transfers to SSF</t>
    </r>
  </si>
  <si>
    <t>CV</t>
  </si>
  <si>
    <r>
      <t xml:space="preserve">Socialinės apsaugos fondai, be pervedimų CV
</t>
    </r>
    <r>
      <rPr>
        <i/>
        <sz val="11"/>
        <rFont val="Arial"/>
        <family val="2"/>
        <charset val="186"/>
      </rPr>
      <t>Social Security Funds, net of transfers to CG</t>
    </r>
  </si>
  <si>
    <t>SAF</t>
  </si>
  <si>
    <r>
      <t xml:space="preserve">Konsoliduotos išlaidos VS posektorių, kurių išlaidos &gt; 3 proc. BVP
</t>
    </r>
    <r>
      <rPr>
        <i/>
        <sz val="11"/>
        <rFont val="Arial"/>
        <family val="2"/>
        <charset val="186"/>
      </rPr>
      <t>Consolidated expenditure of GG subsectors with exp. &gt; 3 % of GDP</t>
    </r>
  </si>
  <si>
    <t>AV3=CV+SAF</t>
  </si>
  <si>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</si>
  <si>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</si>
  <si>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</si>
  <si>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</si>
  <si>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</si>
  <si>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</si>
  <si>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</si>
  <si>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</si>
  <si>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</si>
  <si>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</si>
  <si>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</si>
  <si>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</si>
  <si>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</si>
  <si>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</si>
  <si>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</si>
  <si>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</si>
  <si>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</si>
  <si>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</si>
  <si>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</si>
  <si>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</si>
  <si>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r>
      <t xml:space="preserve">5. Perteklinio VS taisyklės sąlygos
</t>
    </r>
    <r>
      <rPr>
        <b/>
        <i/>
        <sz val="11"/>
        <color rgb="FF00244D"/>
        <rFont val="Arial"/>
        <family val="2"/>
        <charset val="186"/>
      </rPr>
      <t>Conditions of the surplus GG sector rule</t>
    </r>
  </si>
  <si>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</si>
  <si>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</si>
  <si>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</si>
  <si>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</si>
  <si>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Institucija, kurios projekcijų pagrindu atliekama analizė
Institution, projections of which are used for the analysis</t>
  </si>
  <si>
    <t>Ar t metai yra išskirtinių aplinkybių metai?</t>
  </si>
  <si>
    <r>
      <t>S</t>
    </r>
    <r>
      <rPr>
        <vertAlign val="subscript"/>
        <sz val="11"/>
        <color rgb="FF000000"/>
        <rFont val="Arial"/>
        <family val="2"/>
        <charset val="186"/>
      </rPr>
      <t>1</t>
    </r>
  </si>
  <si>
    <t>VS yra faktiškai perteklinis t metais pagal struktūrinį balansą</t>
  </si>
  <si>
    <t>SB(t) &gt; 0*</t>
  </si>
  <si>
    <t xml:space="preserve">In terms of structural balance GG sector is actually in surplus   </t>
  </si>
  <si>
    <r>
      <t>S</t>
    </r>
    <r>
      <rPr>
        <vertAlign val="subscript"/>
        <sz val="11"/>
        <color rgb="FF000000"/>
        <rFont val="Arial"/>
        <family val="2"/>
        <charset val="186"/>
      </rPr>
      <t>2</t>
    </r>
    <r>
      <rPr>
        <sz val="11"/>
        <color theme="1"/>
        <rFont val="Calibri"/>
        <family val="2"/>
        <charset val="186"/>
        <scheme val="minor"/>
      </rPr>
      <t/>
    </r>
  </si>
  <si>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</si>
  <si>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</si>
  <si>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</si>
  <si>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r>
      <t>S</t>
    </r>
    <r>
      <rPr>
        <vertAlign val="subscript"/>
        <sz val="11"/>
        <color rgb="FF000000"/>
        <rFont val="Arial"/>
        <family val="2"/>
        <charset val="186"/>
      </rPr>
      <t>3</t>
    </r>
    <r>
      <rPr>
        <sz val="11"/>
        <color theme="1"/>
        <rFont val="Calibri"/>
        <family val="2"/>
        <charset val="186"/>
        <scheme val="minor"/>
      </rPr>
      <t/>
    </r>
  </si>
  <si>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</si>
  <si>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</si>
  <si>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</si>
  <si>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r>
      <t>S</t>
    </r>
    <r>
      <rPr>
        <vertAlign val="subscript"/>
        <sz val="11"/>
        <color rgb="FF000000"/>
        <rFont val="Arial"/>
        <family val="2"/>
        <charset val="186"/>
      </rPr>
      <t>4</t>
    </r>
    <r>
      <rPr>
        <sz val="11"/>
        <color theme="1"/>
        <rFont val="Calibri"/>
        <family val="2"/>
        <charset val="186"/>
        <scheme val="minor"/>
      </rPr>
      <t/>
    </r>
  </si>
  <si>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</si>
  <si>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</si>
  <si>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</si>
  <si>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</si>
  <si>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r>
      <t>t metais, išskyrus metus, kuriais susidaro išskirtinės aplinkybės, turi būti tenkinama bent viena iš  S</t>
    </r>
    <r>
      <rPr>
        <b/>
        <vertAlign val="subscript"/>
        <sz val="11"/>
        <color rgb="FF00244D"/>
        <rFont val="Arial"/>
        <family val="2"/>
        <charset val="186"/>
      </rPr>
      <t>1</t>
    </r>
    <r>
      <rPr>
        <b/>
        <sz val="11"/>
        <color rgb="FF00244D"/>
        <rFont val="Arial"/>
        <family val="2"/>
        <charset val="186"/>
      </rPr>
      <t>–S</t>
    </r>
    <r>
      <rPr>
        <b/>
        <vertAlign val="subscript"/>
        <sz val="11"/>
        <color rgb="FF00244D"/>
        <rFont val="Arial"/>
        <family val="2"/>
        <charset val="186"/>
      </rPr>
      <t xml:space="preserve">4 </t>
    </r>
    <r>
      <rPr>
        <b/>
        <sz val="11"/>
        <color rgb="FF00244D"/>
        <rFont val="Arial"/>
        <family val="2"/>
        <charset val="186"/>
      </rPr>
      <t xml:space="preserve">sąlygų </t>
    </r>
  </si>
  <si>
    <t xml:space="preserve">At year t, with the exception of the year of exceptional circumstances, at least one of the S1–S4 conditions is satisfied </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</si>
  <si>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</si>
  <si>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</si>
  <si>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</si>
  <si>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</si>
  <si>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</si>
  <si>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</si>
  <si>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</si>
  <si>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</si>
  <si>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</si>
  <si>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</si>
  <si>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S1</t>
  </si>
  <si>
    <t>C1</t>
  </si>
  <si>
    <t>S2</t>
  </si>
  <si>
    <t>C2</t>
  </si>
  <si>
    <t>S3</t>
  </si>
  <si>
    <t>C3</t>
  </si>
  <si>
    <t>S4</t>
  </si>
  <si>
    <t>C4</t>
  </si>
  <si>
    <r>
      <t xml:space="preserve">6. VS išlaidų augimo ribojimo taisyklė
</t>
    </r>
    <r>
      <rPr>
        <b/>
        <i/>
        <sz val="11"/>
        <color rgb="FF00244D"/>
        <rFont val="Arial"/>
        <family val="2"/>
        <charset val="186"/>
      </rPr>
      <t>GG expenditure growth limiting rule</t>
    </r>
  </si>
  <si>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</si>
  <si>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</si>
  <si>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r>
      <rPr>
        <sz val="11"/>
        <color rgb="FF000000"/>
        <rFont val="Arial"/>
        <family val="2"/>
        <charset val="186"/>
      </rPr>
      <t>A</t>
    </r>
    <r>
      <rPr>
        <vertAlign val="subscript"/>
        <sz val="11"/>
        <color rgb="FF000000"/>
        <rFont val="Arial"/>
        <family val="2"/>
        <charset val="186"/>
      </rPr>
      <t>1</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</si>
  <si>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</si>
  <si>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</si>
  <si>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r>
      <rPr>
        <sz val="11"/>
        <color rgb="FF000000"/>
        <rFont val="Arial"/>
        <family val="2"/>
        <charset val="186"/>
      </rPr>
      <t>A</t>
    </r>
    <r>
      <rPr>
        <vertAlign val="subscript"/>
        <sz val="11"/>
        <color rgb="FF000000"/>
        <rFont val="Arial"/>
        <family val="2"/>
        <charset val="186"/>
      </rPr>
      <t>2</t>
    </r>
  </si>
  <si>
    <t>Numatomas VS balanso rodiklio postūmis yra teigiamas ir sudaro bent 1,0 procentinį punktą BVP</t>
  </si>
  <si>
    <t>Projected GG sector balance indicator adjustment is positive and makes up at least 1.0 percentage point of GDP</t>
  </si>
  <si>
    <r>
      <rPr>
        <sz val="11"/>
        <color rgb="FF000000"/>
        <rFont val="Arial"/>
        <family val="2"/>
        <charset val="186"/>
      </rPr>
      <t>A</t>
    </r>
    <r>
      <rPr>
        <vertAlign val="subscript"/>
        <sz val="11"/>
        <color rgb="FF000000"/>
        <rFont val="Arial"/>
        <family val="2"/>
        <charset val="186"/>
      </rPr>
      <t>3</t>
    </r>
  </si>
  <si>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</si>
  <si>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</si>
  <si>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r>
      <rPr>
        <sz val="11"/>
        <color rgb="FF000000"/>
        <rFont val="Arial"/>
        <family val="2"/>
        <charset val="186"/>
      </rPr>
      <t>A</t>
    </r>
    <r>
      <rPr>
        <vertAlign val="subscript"/>
        <sz val="11"/>
        <color rgb="FF000000"/>
        <rFont val="Arial"/>
        <family val="2"/>
        <charset val="186"/>
      </rPr>
      <t>4</t>
    </r>
  </si>
  <si>
    <t>Keičiant einamųjų metų bet kurio iš VS priskiriamų biudžetų, kurių kiekvieno atskirai planuojami asignavimai viršija 3 procentus BVP to meto kainomis, pajamas ar išlaidas, pakeistas VS balansas nepablogės, palyginti su buvusiu prieš keitimą</t>
  </si>
  <si>
    <t>If planned current year GG sector budgets, the planned appropriations of each of which exceed 3 % of GDP at current prices, are subject to amendment,  the adjusted aggregate balances of the GG budgets is not worse than the one before the amendment</t>
  </si>
  <si>
    <r>
      <rPr>
        <sz val="11"/>
        <color rgb="FF000000"/>
        <rFont val="Arial"/>
        <family val="2"/>
        <charset val="186"/>
      </rPr>
      <t>A</t>
    </r>
    <r>
      <rPr>
        <vertAlign val="subscript"/>
        <sz val="11"/>
        <color rgb="FF000000"/>
        <rFont val="Arial"/>
        <family val="2"/>
        <charset val="186"/>
      </rPr>
      <t>5</t>
    </r>
  </si>
  <si>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</si>
  <si>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</si>
  <si>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</si>
  <si>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</si>
  <si>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r>
      <t>t metais, VS išlaidų augimo ribojimo taisyklė netaikoma, kai susidaro bent viena iš A</t>
    </r>
    <r>
      <rPr>
        <b/>
        <vertAlign val="subscript"/>
        <sz val="11"/>
        <color rgb="FF00244D"/>
        <rFont val="Arial"/>
        <family val="2"/>
        <charset val="186"/>
      </rPr>
      <t>1</t>
    </r>
    <r>
      <rPr>
        <b/>
        <sz val="11"/>
        <color rgb="FF00244D"/>
        <rFont val="Arial"/>
        <family val="2"/>
        <charset val="186"/>
      </rPr>
      <t>–A</t>
    </r>
    <r>
      <rPr>
        <b/>
        <vertAlign val="subscript"/>
        <sz val="11"/>
        <color rgb="FF00244D"/>
        <rFont val="Arial"/>
        <family val="2"/>
        <charset val="186"/>
      </rPr>
      <t>5</t>
    </r>
    <r>
      <rPr>
        <b/>
        <sz val="11"/>
        <color rgb="FF00244D"/>
        <rFont val="Arial"/>
        <family val="2"/>
        <charset val="186"/>
      </rPr>
      <t xml:space="preserve"> aplinkybių
</t>
    </r>
  </si>
  <si>
    <t>at year t the GG expenditure growth limiting rule is not applied when at least one of the  A1–A5 escape clauses emerges</t>
  </si>
  <si>
    <r>
      <t xml:space="preserve">Taisyklė
</t>
    </r>
    <r>
      <rPr>
        <i/>
        <sz val="11"/>
        <color rgb="FF000000"/>
        <rFont val="Arial"/>
        <family val="2"/>
        <charset val="186"/>
      </rPr>
      <t>Rule</t>
    </r>
  </si>
  <si>
    <r>
      <t xml:space="preserve">Formulė 
</t>
    </r>
    <r>
      <rPr>
        <i/>
        <sz val="11"/>
        <color rgb="FF000000"/>
        <rFont val="Arial"/>
        <family val="2"/>
        <charset val="186"/>
      </rPr>
      <t>Formula</t>
    </r>
  </si>
  <si>
    <r>
      <t>T</t>
    </r>
    <r>
      <rPr>
        <vertAlign val="subscript"/>
        <sz val="11"/>
        <color rgb="FF000000"/>
        <rFont val="Arial"/>
        <family val="2"/>
        <charset val="186"/>
      </rPr>
      <t>1</t>
    </r>
  </si>
  <si>
    <t xml:space="preserve">Metais t rengiant, tvirtinant ir keičiant VS priskiriamų biudžetų, kurių kiekvieno atskirai planuojami asignavimai viršija 3 proc. BVP to meto kainomis (CV,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</si>
  <si>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Jei / If</t>
  </si>
  <si>
    <t>At year t the preparation, approval and amendment of draft laws or their draft amending laws on approval of the budgets attributable to the GG sector the planned appropriations of each of which exceed 3 % of GDP (central government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</si>
  <si>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t>* nelygybės ženklas yra griežtas, jei skirtumas tarp lyginamų pusių po apvalinimo sudaro bent 0,1, kitaip ženklas interpretuojamas kaip =
** einamaisiais metais keičiamas VS balansas</t>
  </si>
  <si>
    <t>Šaltinis: KĮ 3 straipsnis 3 dalis</t>
  </si>
  <si>
    <t>Source: CL Article 3(3)</t>
  </si>
  <si>
    <t>AV3(t) =</t>
  </si>
  <si>
    <t>AV3(t–1) =</t>
  </si>
  <si>
    <t>ES(t) =</t>
  </si>
  <si>
    <t>ES(t–1) =</t>
  </si>
  <si>
    <t>VI(t) =</t>
  </si>
  <si>
    <t>VI(t–1) =</t>
  </si>
  <si>
    <t>B(t–1)–B(t–2) =</t>
  </si>
  <si>
    <t>BP(t–1)–BP(t–2) =</t>
  </si>
  <si>
    <t>P1(t)/P1(t–1) =</t>
  </si>
  <si>
    <t>P2(t)/P2(t–1) =</t>
  </si>
  <si>
    <t>P3(t)/P3(t–1) =</t>
  </si>
  <si>
    <t>P4(t)/P4(t–1) =</t>
  </si>
  <si>
    <t>ΔYN(t–1) =</t>
  </si>
  <si>
    <t>AP(t)  =</t>
  </si>
  <si>
    <t>AV3(t)–ES(t)=</t>
  </si>
  <si>
    <t>AV3(t–1)–ES(t–1)=</t>
  </si>
  <si>
    <t>(AV3(t)-ES(t))/(AV3(t-1)-ES(t-1))=</t>
  </si>
  <si>
    <r>
      <t>Y</t>
    </r>
    <r>
      <rPr>
        <vertAlign val="subscript"/>
        <sz val="11"/>
        <color rgb="FF000000"/>
        <rFont val="Arial"/>
        <family val="2"/>
        <charset val="186"/>
      </rPr>
      <t>np10t</t>
    </r>
  </si>
  <si>
    <t>Europos Komisija</t>
  </si>
  <si>
    <t>EK</t>
  </si>
  <si>
    <t>European Commission</t>
  </si>
  <si>
    <t>A1</t>
  </si>
  <si>
    <t>A2</t>
  </si>
  <si>
    <t>A3</t>
  </si>
  <si>
    <t>A4</t>
  </si>
  <si>
    <t>A5</t>
  </si>
  <si>
    <r>
      <t xml:space="preserve">7. VS priskiriamų biudžetų taisyklės
</t>
    </r>
    <r>
      <rPr>
        <b/>
        <i/>
        <sz val="11"/>
        <color rgb="FF00244D"/>
        <rFont val="Arial"/>
        <family val="2"/>
        <charset val="186"/>
      </rPr>
      <t>Rules for the budgets attributable to GG sector</t>
    </r>
  </si>
  <si>
    <r>
      <t>T</t>
    </r>
    <r>
      <rPr>
        <vertAlign val="subscript"/>
        <sz val="11"/>
        <color rgb="FF000000"/>
        <rFont val="Arial"/>
        <family val="2"/>
        <charset val="186"/>
      </rPr>
      <t>31</t>
    </r>
  </si>
  <si>
    <t>Nuo 2018 m. sausio 1 d. kiekvienas j-asis vietos valdžios sektoriui priskiriamas biudžetas, kurio asignavimai viršija 0,3 procentą praėjusių metų BVP to meto kainomis, turi būti planuojamas, tvirtinamas, keičiamas ir vykdomas taip, kad, sprendžiant pagal to biudžeto struktūrinį balanso rodiklį, apskaičiuotą kaupiamuoju principu, jis būtų perteklinis arba subalansuotas</t>
  </si>
  <si>
    <r>
      <t>SB</t>
    </r>
    <r>
      <rPr>
        <vertAlign val="subscript"/>
        <sz val="11"/>
        <color rgb="FF000000"/>
        <rFont val="Arial"/>
        <family val="2"/>
        <charset val="186"/>
      </rPr>
      <t>j</t>
    </r>
    <r>
      <rPr>
        <sz val="11"/>
        <color rgb="FF000000"/>
        <rFont val="Arial"/>
        <family val="2"/>
        <charset val="186"/>
      </rPr>
      <t>(t) ≥ 0, ꓯj</t>
    </r>
  </si>
  <si>
    <t>From 1 January 2018 each j-th budget attributable to local government sector, planned appropriations of which exceeds 0.3 % of GDP in the preceding year at current prices, must be planned, approved, amended and implemented to be in surplus or balanced when judged by its structural balance indicator calculated on accrual basis</t>
  </si>
  <si>
    <r>
      <t xml:space="preserve">Taisyklė savivaldybių (j) asignavimams, kurie viršija 0,3 proc. BVP
</t>
    </r>
    <r>
      <rPr>
        <b/>
        <i/>
        <sz val="11"/>
        <color rgb="FF00244D"/>
        <rFont val="Arial"/>
        <family val="2"/>
        <charset val="186"/>
      </rPr>
      <t>Rule for local governments (j) appropriations of which exceed 0.3 % of GDP</t>
    </r>
  </si>
  <si>
    <r>
      <t>T</t>
    </r>
    <r>
      <rPr>
        <vertAlign val="subscript"/>
        <sz val="11"/>
        <color rgb="FF000000"/>
        <rFont val="Arial"/>
        <family val="2"/>
        <charset val="186"/>
      </rPr>
      <t>32</t>
    </r>
  </si>
  <si>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</si>
  <si>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</si>
  <si>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</si>
  <si>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</si>
  <si>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r>
      <t>T</t>
    </r>
    <r>
      <rPr>
        <vertAlign val="subscript"/>
        <sz val="11"/>
        <color rgb="FF000000"/>
        <rFont val="Arial"/>
        <family val="2"/>
        <charset val="186"/>
      </rPr>
      <t>4</t>
    </r>
  </si>
  <si>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</si>
  <si>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</si>
  <si>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</si>
  <si>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</si>
  <si>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r>
      <t>Taisyklė</t>
    </r>
    <r>
      <rPr>
        <b/>
        <sz val="11"/>
        <color rgb="FFFF0000"/>
        <rFont val="Arial"/>
        <family val="2"/>
        <charset val="186"/>
      </rPr>
      <t xml:space="preserve"> </t>
    </r>
    <r>
      <rPr>
        <b/>
        <sz val="11"/>
        <color rgb="FF00244D"/>
        <rFont val="Arial"/>
        <family val="2"/>
        <charset val="186"/>
      </rPr>
      <t>VSDF struktūriniam biudžetui</t>
    </r>
  </si>
  <si>
    <t>Rule for VSDF structural budget</t>
  </si>
  <si>
    <r>
      <t>T</t>
    </r>
    <r>
      <rPr>
        <vertAlign val="subscript"/>
        <sz val="11"/>
        <color rgb="FF000000"/>
        <rFont val="Arial"/>
        <family val="2"/>
        <charset val="186"/>
      </rPr>
      <t>5</t>
    </r>
  </si>
  <si>
    <t>Nuo 2016 m. sausio 1 d.  kiekvienas j-asis vietos valdžios sektoriui priskiriamas biudžetas, kurio asignavimai neviršija 0,3 procento praėjusių metų BVP to meto kainomis, turi būti planuojamas, tvirtinamas, keičiamas ir vykdomas taip, kad to biudžeto asignavimai neviršytų jo pajamų, išskyrus metus, kuriais pagal Vyriausybės arba jos įgaliotos institucijos viešai paskelbtą ekonominės raidos scenarijų, dėl kurio tvirtinimo kontrolės institucija paskelbė savo išvadą, numatomas neigiamas produkcijos atotrūkis nuo potencialo. Pastaruoju atveju asignavimai negali viršyti pajamų daugiau kaip 1,5 procento</t>
  </si>
  <si>
    <t>AP(t) ≥ 0 &amp; 
VIj(t)/VPj(t) ≤ 1</t>
  </si>
  <si>
    <t>From 1 January 2016 each j-th budget attributable to local government sector, planned appropriations of which does not exceed 0.3 % of GDP in the preceding year at current prices, shall be planned, approved, amended and implemented in such a way that the appropriations of the budget would not exceed its revenue,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</si>
  <si>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t>AP(t) &lt; 0 &amp; 
VIj(t)/VPj(t) ≤ 1,015</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</si>
  <si>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</si>
  <si>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</si>
  <si>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</si>
  <si>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</si>
  <si>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</si>
  <si>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</si>
  <si>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augimą ribojimo taisyklė ir VS priskiriamų biudžetų taisyklės.
</t>
    </r>
    <r>
      <rPr>
        <i/>
        <sz val="11"/>
        <color rgb="FF00244D"/>
        <rFont val="Arial"/>
        <family val="2"/>
        <charset val="186"/>
      </rPr>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r>
  </si>
  <si>
    <r>
      <t>SUVESTINĖ /</t>
    </r>
    <r>
      <rPr>
        <i/>
        <sz val="12"/>
        <color rgb="FF00244D"/>
        <rFont val="Arial"/>
        <family val="2"/>
        <charset val="186"/>
      </rPr>
      <t xml:space="preserve"> </t>
    </r>
    <r>
      <rPr>
        <sz val="12"/>
        <color rgb="FF00244D"/>
        <rFont val="Arial"/>
        <family val="2"/>
        <charset val="186"/>
      </rPr>
      <t>SUMMARY</t>
    </r>
  </si>
  <si>
    <t>Nuo 2018 m. sausio 1 d. PSDF biudžetas turi būti planuojamas, tvirtinamas, keičiamas ir vykdomas taip, kad, sprendžiant pagal to biudžeto struktūrinį balanso rodiklį, apskaičiuotą kaupiamuoju principu, jis būtų perteklinis arba subalansuotas</t>
  </si>
  <si>
    <t>2021 pavasario ERS duomenys</t>
  </si>
  <si>
    <t>t−8</t>
  </si>
  <si>
    <t>t−7</t>
  </si>
  <si>
    <t>t−6</t>
  </si>
  <si>
    <t>t−5</t>
  </si>
  <si>
    <t>t−4</t>
  </si>
  <si>
    <t>t−3</t>
  </si>
  <si>
    <t>2021 P</t>
  </si>
  <si>
    <t>* inequality sign is strict, if a difference between both compared sides after rounding is at least 0.1,  else the sign is interpreted as =
** the adjusted aggregate balances of the GG budgets</t>
  </si>
  <si>
    <t>2021 m. pavasario EK projekcijos</t>
  </si>
  <si>
    <t>2020 m. rudens EK projekcijos</t>
  </si>
  <si>
    <t>2020 m. žiemos ERS</t>
  </si>
  <si>
    <t>2021 m. pavasario ERS</t>
  </si>
  <si>
    <t>B3(t) ≥ B3**(t)</t>
  </si>
  <si>
    <t>B3**(t) =</t>
  </si>
  <si>
    <t>B3(t) =</t>
  </si>
  <si>
    <t>2022 P</t>
  </si>
  <si>
    <t>Savivaldybių biudžetų atitiktis fiskalinės drausmės taisyklėms bus vertinama 2022 m. birželio mėn.</t>
  </si>
  <si>
    <t>Will be assessed in June 2022</t>
  </si>
  <si>
    <t>2020K3-2021K2</t>
  </si>
  <si>
    <t>B(t) − B(t–1) ≥ 1</t>
  </si>
  <si>
    <r>
      <t xml:space="preserve">1. Fiskalinės drausmės taisyklių laikymosi suvestinė 2022 m.
</t>
    </r>
    <r>
      <rPr>
        <b/>
        <i/>
        <sz val="11"/>
        <color rgb="FF00244D"/>
        <rFont val="Arial"/>
        <family val="2"/>
        <charset val="186"/>
      </rPr>
      <t>Summary of the fulfilment of the fiscal discipline rules in year 2022</t>
    </r>
  </si>
  <si>
    <t>2021-11-08 BPE–7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</si>
</sst>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0.0"/>
    <numFmt numFmtId="165" formatCode="yyyy\-mm\-dd;@"/>
    <numFmt numFmtId="166" formatCode="0.0"/>
    <numFmt numFmtId="167" formatCode="0.00;\ \–0.00"/>
    <numFmt numFmtId="168" formatCode="0.000;\ \–0.000"/>
    <numFmt numFmtId="169" formatCode="0.000"/>
    <numFmt numFmtId="170" formatCode="#,##0.0"/>
    <numFmt numFmtId="171" formatCode="0\,0;\–0\,0"/>
    <numFmt numFmtId="172" formatCode="0.00000"/>
    <numFmt numFmtId="173" formatCode="0.0;\–0.0"/>
  </numFmts>
  <fonts count="46" x14ac:knownFonts="1">
    <font>
      <sz val="11"/>
      <color theme="1"/>
      <name val="Calibri"/>
      <family val="2"/>
      <charset val="186"/>
      <scheme val="minor"/>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sz val="10"/>
      <name val="Arial Baltic"/>
      <charset val="186"/>
    </font>
    <font>
      <b/>
      <sz val="9"/>
      <name val="Arial"/>
      <family val="2"/>
      <charset val="186"/>
    </font>
    <font>
      <sz val="8"/>
      <color rgb="FFFF0000"/>
      <name val="Arial"/>
      <family val="2"/>
      <charset val="186"/>
    </font>
    <font>
      <sz val="11"/>
      <color rgb="FF000000"/>
      <name val="Calibri"/>
      <family val="2"/>
      <charset val="186"/>
    </font>
    <font>
      <b/>
      <vertAlign val="subscript"/>
      <sz val="11"/>
      <color rgb="FF00244D"/>
      <name val="Arial"/>
      <family val="2"/>
      <charset val="186"/>
    </font>
    <font>
      <sz val="10"/>
      <color rgb="FF00244D"/>
      <name val="Arial"/>
      <family val="2"/>
      <charset val="186"/>
    </font>
    <font>
      <b/>
      <sz val="11"/>
      <color rgb="FFFF0000"/>
      <name val="Arial"/>
      <family val="2"/>
      <charset val="186"/>
    </font>
    <font>
      <sz val="11"/>
      <name val="Calibri Light"/>
      <family val="2"/>
      <charset val="186"/>
      <scheme val="major"/>
    </font>
    <font>
      <b/>
      <i/>
      <sz val="11"/>
      <color rgb="FF00244D"/>
      <name val="Arial"/>
      <family val="2"/>
      <charset val="186"/>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12"/>
      <color rgb="FF00244D"/>
      <name val="Arial"/>
      <family val="2"/>
      <charset val="186"/>
    </font>
    <font>
      <sz val="11"/>
      <color rgb="FF535141"/>
      <name val="Arial"/>
      <family val="2"/>
      <charset val="186"/>
    </font>
    <font>
      <sz val="14"/>
      <color rgb="FF535141"/>
      <name val="Arial"/>
      <family val="2"/>
      <charset val="186"/>
    </font>
    <font>
      <i/>
      <sz val="11"/>
      <color rgb="FF00244D"/>
      <name val="Arial"/>
      <family val="2"/>
      <charset val="186"/>
    </font>
    <font>
      <i/>
      <sz val="12"/>
      <color rgb="FF00244D"/>
      <name val="Arial"/>
      <family val="2"/>
      <charset val="186"/>
    </font>
    <font>
      <sz val="14"/>
      <color rgb="FF00244D"/>
      <name val="Arial"/>
      <family val="2"/>
      <charset val="186"/>
    </font>
    <font>
      <i/>
      <u/>
      <sz val="11"/>
      <color rgb="FF00244D"/>
      <name val="Arial"/>
      <family val="2"/>
      <charset val="186"/>
    </font>
    <font>
      <sz val="11"/>
      <color theme="4"/>
      <name val="Arial"/>
      <family val="2"/>
      <charset val="186"/>
    </font>
    <font>
      <sz val="8"/>
      <color rgb="FF000000"/>
      <name val="Arial"/>
      <family val="2"/>
      <charset val="186"/>
    </font>
  </fonts>
  <fills count="11">
    <fill>
      <patternFill patternType="none"/>
    </fill>
    <fill>
      <patternFill patternType="gray125"/>
    </fill>
    <fill>
      <patternFill patternType="solid">
        <fgColor rgb="FFC9D6D9"/>
        <bgColor indexed="64"/>
      </patternFill>
    </fill>
    <fill>
      <patternFill patternType="solid">
        <fgColor rgb="FFC9D6D9"/>
        <bgColor rgb="FF000000"/>
      </patternFill>
    </fill>
    <fill>
      <patternFill patternType="solid">
        <fgColor rgb="FFD1D1D1"/>
        <bgColor rgb="FF000000"/>
      </patternFill>
    </fill>
    <fill>
      <patternFill patternType="solid">
        <fgColor rgb="FFB5DDF0"/>
        <bgColor rgb="FF000000"/>
      </patternFill>
    </fill>
    <fill>
      <patternFill patternType="solid">
        <fgColor rgb="FFF39EA0"/>
        <bgColor rgb="FF000000"/>
      </patternFill>
    </fill>
    <fill>
      <patternFill patternType="solid">
        <fgColor rgb="FFFFFFFF"/>
        <bgColor rgb="FF000000"/>
      </patternFill>
    </fill>
    <fill>
      <patternFill patternType="solid">
        <fgColor theme="0"/>
        <bgColor indexed="64"/>
      </patternFill>
    </fill>
    <fill>
      <patternFill patternType="solid">
        <fgColor rgb="FF00244D"/>
        <bgColor indexed="64"/>
      </patternFill>
    </fill>
    <fill>
      <patternFill patternType="solid">
        <fgColor rgb="FFB5DDF0"/>
        <bgColor indexed="64"/>
      </patternFill>
    </fill>
  </fills>
  <borders count="46">
    <border>
      <left/>
      <right/>
      <top/>
      <bottom/>
      <diagonal/>
    </border>
    <border>
      <left style="medium">
        <color rgb="FF00244D"/>
      </left>
      <right style="medium">
        <color rgb="FF00244D"/>
      </right>
      <top style="medium">
        <color rgb="FF00244D"/>
      </top>
      <bottom style="medium">
        <color rgb="FF00244D"/>
      </bottom>
      <diagonal/>
    </border>
    <border>
      <left style="medium">
        <color rgb="FF00244D"/>
      </left>
      <right/>
      <top style="medium">
        <color rgb="FF00244D"/>
      </top>
      <bottom/>
      <diagonal/>
    </border>
    <border>
      <left/>
      <right/>
      <top style="medium">
        <color rgb="FF00244D"/>
      </top>
      <bottom/>
      <diagonal/>
    </border>
    <border>
      <left/>
      <right style="medium">
        <color rgb="FF00244D"/>
      </right>
      <top style="medium">
        <color rgb="FF00244D"/>
      </top>
      <bottom/>
      <diagonal/>
    </border>
    <border>
      <left style="medium">
        <color rgb="FF00244D"/>
      </left>
      <right/>
      <top/>
      <bottom/>
      <diagonal/>
    </border>
    <border>
      <left/>
      <right style="medium">
        <color rgb="FF00244D"/>
      </right>
      <top/>
      <bottom/>
      <diagonal/>
    </border>
    <border>
      <left style="medium">
        <color rgb="FF00244D"/>
      </left>
      <right/>
      <top/>
      <bottom style="medium">
        <color rgb="FF00244D"/>
      </bottom>
      <diagonal/>
    </border>
    <border>
      <left/>
      <right/>
      <top/>
      <bottom style="medium">
        <color rgb="FF00244D"/>
      </bottom>
      <diagonal/>
    </border>
    <border>
      <left/>
      <right style="medium">
        <color rgb="FF00244D"/>
      </right>
      <top/>
      <bottom style="medium">
        <color rgb="FF00244D"/>
      </bottom>
      <diagonal/>
    </border>
    <border>
      <left style="thick">
        <color rgb="FF00244D"/>
      </left>
      <right style="medium">
        <color rgb="FF00244D"/>
      </right>
      <top style="thick">
        <color rgb="FF00244D"/>
      </top>
      <bottom style="medium">
        <color rgb="FF00244D"/>
      </bottom>
      <diagonal/>
    </border>
    <border>
      <left style="medium">
        <color rgb="FF00244D"/>
      </left>
      <right style="medium">
        <color rgb="FF00244D"/>
      </right>
      <top style="thick">
        <color rgb="FF00244D"/>
      </top>
      <bottom style="medium">
        <color rgb="FF00244D"/>
      </bottom>
      <diagonal/>
    </border>
    <border>
      <left style="medium">
        <color rgb="FF00244D"/>
      </left>
      <right style="thick">
        <color rgb="FF00244D"/>
      </right>
      <top style="thick">
        <color rgb="FF00244D"/>
      </top>
      <bottom style="medium">
        <color rgb="FF00244D"/>
      </bottom>
      <diagonal/>
    </border>
    <border>
      <left style="thick">
        <color rgb="FF00244D"/>
      </left>
      <right style="medium">
        <color rgb="FF00244D"/>
      </right>
      <top style="medium">
        <color rgb="FF00244D"/>
      </top>
      <bottom style="medium">
        <color rgb="FF00244D"/>
      </bottom>
      <diagonal/>
    </border>
    <border>
      <left style="medium">
        <color rgb="FF00244D"/>
      </left>
      <right style="thick">
        <color rgb="FF00244D"/>
      </right>
      <top style="medium">
        <color rgb="FF00244D"/>
      </top>
      <bottom style="medium">
        <color rgb="FF00244D"/>
      </bottom>
      <diagonal/>
    </border>
    <border>
      <left style="medium">
        <color rgb="FF00244D"/>
      </left>
      <right style="medium">
        <color rgb="FF00244D"/>
      </right>
      <top style="medium">
        <color rgb="FF00244D"/>
      </top>
      <bottom/>
      <diagonal/>
    </border>
    <border>
      <left style="medium">
        <color rgb="FF00244D"/>
      </left>
      <right style="thick">
        <color rgb="FF00244D"/>
      </right>
      <top style="medium">
        <color rgb="FF00244D"/>
      </top>
      <bottom/>
      <diagonal/>
    </border>
    <border>
      <left style="medium">
        <color rgb="FF00244D"/>
      </left>
      <right style="medium">
        <color rgb="FF00244D"/>
      </right>
      <top/>
      <bottom style="medium">
        <color rgb="FF00244D"/>
      </bottom>
      <diagonal/>
    </border>
    <border>
      <left style="medium">
        <color rgb="FF00244D"/>
      </left>
      <right style="thick">
        <color rgb="FF00244D"/>
      </right>
      <top/>
      <bottom style="medium">
        <color rgb="FF00244D"/>
      </bottom>
      <diagonal/>
    </border>
    <border>
      <left style="thick">
        <color rgb="FF00244D"/>
      </left>
      <right style="medium">
        <color rgb="FF00244D"/>
      </right>
      <top style="medium">
        <color rgb="FF00244D"/>
      </top>
      <bottom/>
      <diagonal/>
    </border>
    <border>
      <left style="thick">
        <color rgb="FF00244D"/>
      </left>
      <right style="medium">
        <color rgb="FF00244D"/>
      </right>
      <top/>
      <bottom style="medium">
        <color rgb="FF00244D"/>
      </bottom>
      <diagonal/>
    </border>
    <border>
      <left style="thick">
        <color rgb="FF00244D"/>
      </left>
      <right style="medium">
        <color rgb="FF00244D"/>
      </right>
      <top style="medium">
        <color rgb="FF00244D"/>
      </top>
      <bottom style="thick">
        <color rgb="FF00244D"/>
      </bottom>
      <diagonal/>
    </border>
    <border>
      <left style="medium">
        <color rgb="FF00244D"/>
      </left>
      <right/>
      <top style="medium">
        <color rgb="FF00244D"/>
      </top>
      <bottom style="medium">
        <color rgb="FF00244D"/>
      </bottom>
      <diagonal/>
    </border>
    <border>
      <left/>
      <right style="medium">
        <color rgb="FF00244D"/>
      </right>
      <top style="medium">
        <color rgb="FF00244D"/>
      </top>
      <bottom style="medium">
        <color rgb="FF00244D"/>
      </bottom>
      <diagonal/>
    </border>
    <border>
      <left/>
      <right/>
      <top style="medium">
        <color indexed="64"/>
      </top>
      <bottom style="medium">
        <color rgb="FF00244D"/>
      </bottom>
      <diagonal/>
    </border>
    <border>
      <left/>
      <right/>
      <top style="medium">
        <color rgb="FF00244D"/>
      </top>
      <bottom style="medium">
        <color rgb="FF00244D"/>
      </bottom>
      <diagonal/>
    </border>
    <border>
      <left style="medium">
        <color rgb="FF00244D"/>
      </left>
      <right style="medium">
        <color rgb="FF00244D"/>
      </right>
      <top/>
      <bottom style="thick">
        <color rgb="FF00244D"/>
      </bottom>
      <diagonal/>
    </border>
    <border>
      <left style="medium">
        <color rgb="FF00244D"/>
      </left>
      <right style="thick">
        <color rgb="FF00244D"/>
      </right>
      <top/>
      <bottom style="thick">
        <color rgb="FF00244D"/>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244D"/>
      </left>
      <right style="medium">
        <color rgb="FF8D8473"/>
      </right>
      <top style="medium">
        <color rgb="FF00244D"/>
      </top>
      <bottom style="medium">
        <color rgb="FF00244D"/>
      </bottom>
      <diagonal/>
    </border>
    <border>
      <left style="medium">
        <color rgb="FF8D8473"/>
      </left>
      <right style="medium">
        <color rgb="FF00244D"/>
      </right>
      <top style="medium">
        <color rgb="FF00244D"/>
      </top>
      <bottom style="medium">
        <color rgb="FF00244D"/>
      </bottom>
      <diagonal/>
    </border>
    <border>
      <left/>
      <right style="thick">
        <color rgb="FF00244D"/>
      </right>
      <top style="medium">
        <color rgb="FF00244D"/>
      </top>
      <bottom style="medium">
        <color rgb="FF00244D"/>
      </bottom>
      <diagonal/>
    </border>
    <border>
      <left style="medium">
        <color rgb="FF00244D"/>
      </left>
      <right style="medium">
        <color rgb="FF00244D"/>
      </right>
      <top/>
      <bottom/>
      <diagonal/>
    </border>
    <border>
      <left style="thick">
        <color rgb="FF00244D"/>
      </left>
      <right style="medium">
        <color rgb="FF00244D"/>
      </right>
      <top/>
      <bottom/>
      <diagonal/>
    </border>
    <border>
      <left style="medium">
        <color rgb="FF00244D"/>
      </left>
      <right style="thick">
        <color rgb="FF00244D"/>
      </right>
      <top/>
      <bottom/>
      <diagonal/>
    </border>
    <border>
      <left/>
      <right style="thick">
        <color rgb="FF00244D"/>
      </right>
      <top style="medium">
        <color rgb="FF00244D"/>
      </top>
      <bottom/>
      <diagonal/>
    </border>
    <border>
      <left/>
      <right style="thick">
        <color rgb="FF00244D"/>
      </right>
      <top/>
      <bottom/>
      <diagonal/>
    </border>
    <border>
      <left/>
      <right style="thick">
        <color rgb="FF00244D"/>
      </right>
      <top/>
      <bottom style="medium">
        <color rgb="FF00244D"/>
      </bottom>
      <diagonal/>
    </border>
    <border>
      <left style="thick">
        <color rgb="FF00244D"/>
      </left>
      <right style="medium">
        <color rgb="FF00244D"/>
      </right>
      <top/>
      <bottom style="thick">
        <color rgb="FF00244D"/>
      </bottom>
      <diagonal/>
    </border>
    <border>
      <left style="medium">
        <color rgb="FF00244D"/>
      </left>
      <right/>
      <top/>
      <bottom style="thick">
        <color rgb="FF00244D"/>
      </bottom>
      <diagonal/>
    </border>
    <border>
      <left/>
      <right/>
      <top/>
      <bottom style="thin">
        <color rgb="FF00244D"/>
      </bottom>
      <diagonal/>
    </border>
    <border>
      <left/>
      <right/>
      <top style="thick">
        <color rgb="FF00244D"/>
      </top>
      <bottom/>
      <diagonal/>
    </border>
    <border>
      <left style="medium">
        <color indexed="64"/>
      </left>
      <right/>
      <top style="medium">
        <color indexed="64"/>
      </top>
      <bottom style="medium">
        <color rgb="FF00244D"/>
      </bottom>
      <diagonal/>
    </border>
    <border>
      <left/>
      <right style="medium">
        <color indexed="64"/>
      </right>
      <top style="medium">
        <color indexed="64"/>
      </top>
      <bottom style="medium">
        <color rgb="FF00244D"/>
      </bottom>
      <diagonal/>
    </border>
    <border>
      <left style="thick">
        <color rgb="FF00244D"/>
      </left>
      <right/>
      <top style="medium">
        <color rgb="FF00244D"/>
      </top>
      <bottom style="medium">
        <color rgb="FF00244D"/>
      </bottom>
      <diagonal/>
    </border>
  </borders>
  <cellStyleXfs count="7">
    <xf numFmtId="0" fontId="0" fillId="0" borderId="0"/>
    <xf numFmtId="0" fontId="2" fillId="0" borderId="0" applyNumberFormat="0" applyFill="0" applyBorder="0" applyAlignment="0" applyProtection="0"/>
    <xf numFmtId="0" fontId="9" fillId="0" borderId="0"/>
    <xf numFmtId="0" fontId="10" fillId="0" borderId="0"/>
    <xf numFmtId="0" fontId="1" fillId="0" borderId="0"/>
    <xf numFmtId="0" fontId="1" fillId="0" borderId="0"/>
    <xf numFmtId="0" fontId="20" fillId="0" borderId="0"/>
  </cellStyleXfs>
  <cellXfs count="452">
    <xf numFmtId="0" fontId="0" fillId="0" borderId="0" xfId="0"/>
    <xf numFmtId="0" fontId="3" fillId="0" borderId="0" xfId="0" applyFont="1" applyFill="1" applyBorder="1"/>
    <xf numFmtId="0" fontId="4" fillId="0" borderId="0" xfId="1" applyFont="1" applyFill="1" applyBorder="1" applyAlignment="1" applyProtection="1"/>
    <xf numFmtId="0" fontId="4" fillId="0" borderId="0" xfId="1" applyFont="1" applyFill="1" applyBorder="1" applyAlignment="1" applyProtection="1">
      <alignment horizontal="left"/>
    </xf>
    <xf numFmtId="0" fontId="5" fillId="0" borderId="0" xfId="1" applyFont="1" applyFill="1" applyBorder="1" applyAlignment="1" applyProtection="1"/>
    <xf numFmtId="0" fontId="3" fillId="0" borderId="0" xfId="0" applyFont="1" applyFill="1" applyBorder="1" applyAlignment="1">
      <alignment wrapText="1"/>
    </xf>
    <xf numFmtId="0" fontId="8" fillId="0" borderId="13" xfId="0" applyFont="1" applyFill="1" applyBorder="1" applyAlignment="1">
      <alignment horizontal="right" wrapText="1" indent="1"/>
    </xf>
    <xf numFmtId="0" fontId="8" fillId="5" borderId="14" xfId="0" applyFont="1" applyFill="1" applyBorder="1" applyAlignment="1">
      <alignment horizontal="center" vertical="center"/>
    </xf>
    <xf numFmtId="0" fontId="3" fillId="4" borderId="15" xfId="0" applyFont="1" applyFill="1" applyBorder="1" applyAlignment="1">
      <alignment horizontal="center" vertical="top" wrapText="1"/>
    </xf>
    <xf numFmtId="0" fontId="3" fillId="4" borderId="1" xfId="0" applyFont="1" applyFill="1" applyBorder="1" applyAlignment="1">
      <alignment horizontal="center" vertical="center" wrapText="1"/>
    </xf>
    <xf numFmtId="0" fontId="3" fillId="0" borderId="0" xfId="0" applyFont="1" applyFill="1" applyBorder="1" applyAlignment="1">
      <alignment horizontal="right" indent="1"/>
    </xf>
    <xf numFmtId="0" fontId="3" fillId="0" borderId="0" xfId="0" applyFont="1" applyFill="1" applyBorder="1" applyAlignment="1">
      <alignment horizontal="right" wrapText="1" indent="1"/>
    </xf>
    <xf numFmtId="0" fontId="5" fillId="0" borderId="0" xfId="0" applyFont="1" applyFill="1" applyBorder="1"/>
    <xf numFmtId="0" fontId="13" fillId="0" borderId="0" xfId="0" applyFont="1" applyFill="1" applyBorder="1"/>
    <xf numFmtId="0" fontId="8" fillId="0" borderId="1" xfId="0" applyFont="1" applyFill="1" applyBorder="1" applyAlignment="1">
      <alignment horizontal="center" vertical="center"/>
    </xf>
    <xf numFmtId="164" fontId="8" fillId="0" borderId="1" xfId="0" applyNumberFormat="1" applyFont="1" applyFill="1" applyBorder="1" applyAlignment="1">
      <alignment horizontal="center" vertical="center"/>
    </xf>
    <xf numFmtId="165" fontId="8" fillId="0" borderId="1" xfId="0" applyNumberFormat="1" applyFont="1" applyFill="1" applyBorder="1" applyAlignment="1">
      <alignment horizontal="center" vertical="center"/>
    </xf>
    <xf numFmtId="164" fontId="8" fillId="6" borderId="1" xfId="0" applyNumberFormat="1" applyFont="1" applyFill="1" applyBorder="1" applyAlignment="1">
      <alignment horizontal="right" vertical="center" indent="1"/>
    </xf>
    <xf numFmtId="164" fontId="8" fillId="7" borderId="1" xfId="0" applyNumberFormat="1" applyFont="1" applyFill="1" applyBorder="1" applyAlignment="1">
      <alignment horizontal="right" vertical="center" indent="1"/>
    </xf>
    <xf numFmtId="164" fontId="8" fillId="0" borderId="1" xfId="0" applyNumberFormat="1" applyFont="1" applyFill="1" applyBorder="1" applyAlignment="1">
      <alignment horizontal="right" vertical="center" indent="1"/>
    </xf>
    <xf numFmtId="164" fontId="3" fillId="7" borderId="1" xfId="0" applyNumberFormat="1" applyFont="1" applyFill="1" applyBorder="1" applyAlignment="1">
      <alignment horizontal="right" vertical="center" indent="1"/>
    </xf>
    <xf numFmtId="164" fontId="8" fillId="5" borderId="1" xfId="0" applyNumberFormat="1" applyFont="1" applyFill="1" applyBorder="1" applyAlignment="1">
      <alignment horizontal="right" vertical="center" indent="1"/>
    </xf>
    <xf numFmtId="164" fontId="8" fillId="4" borderId="1" xfId="0" applyNumberFormat="1" applyFont="1" applyFill="1" applyBorder="1" applyAlignment="1">
      <alignment horizontal="right" vertical="center" indent="1"/>
    </xf>
    <xf numFmtId="0" fontId="8" fillId="0" borderId="0" xfId="0" applyFont="1" applyFill="1" applyBorder="1"/>
    <xf numFmtId="166" fontId="3" fillId="0" borderId="0" xfId="0" applyNumberFormat="1" applyFont="1" applyFill="1" applyBorder="1"/>
    <xf numFmtId="0" fontId="16" fillId="0" borderId="0" xfId="0" applyFont="1" applyFill="1" applyBorder="1"/>
    <xf numFmtId="164" fontId="3" fillId="0" borderId="0" xfId="0" applyNumberFormat="1" applyFont="1" applyFill="1" applyBorder="1"/>
    <xf numFmtId="168" fontId="8" fillId="6" borderId="1" xfId="0" applyNumberFormat="1" applyFont="1" applyFill="1" applyBorder="1" applyAlignment="1">
      <alignment horizontal="right" vertical="center" indent="1"/>
    </xf>
    <xf numFmtId="164" fontId="16" fillId="7" borderId="1" xfId="0" applyNumberFormat="1" applyFont="1" applyFill="1" applyBorder="1" applyAlignment="1">
      <alignment horizontal="right" vertical="center" indent="1"/>
    </xf>
    <xf numFmtId="0" fontId="18" fillId="0" borderId="0" xfId="0" applyFont="1" applyFill="1" applyBorder="1"/>
    <xf numFmtId="0" fontId="3" fillId="6" borderId="1" xfId="0" applyFont="1" applyFill="1" applyBorder="1"/>
    <xf numFmtId="0" fontId="3" fillId="4" borderId="1" xfId="0" applyFont="1" applyFill="1" applyBorder="1"/>
    <xf numFmtId="0" fontId="3" fillId="5" borderId="1" xfId="0" applyFont="1" applyFill="1" applyBorder="1"/>
    <xf numFmtId="0" fontId="19" fillId="0" borderId="0" xfId="0" applyFont="1" applyFill="1" applyBorder="1" applyAlignment="1">
      <alignment horizontal="right" indent="1"/>
    </xf>
    <xf numFmtId="0" fontId="3" fillId="0" borderId="1" xfId="0" applyFont="1" applyFill="1" applyBorder="1"/>
    <xf numFmtId="0" fontId="5" fillId="0" borderId="0" xfId="0" applyFont="1" applyFill="1" applyBorder="1" applyAlignment="1">
      <alignment horizontal="right" indent="1"/>
    </xf>
    <xf numFmtId="2" fontId="5" fillId="0" borderId="0" xfId="0" applyNumberFormat="1" applyFont="1" applyFill="1" applyBorder="1" applyAlignment="1">
      <alignment horizontal="center"/>
    </xf>
    <xf numFmtId="169" fontId="3" fillId="0" borderId="0" xfId="0" applyNumberFormat="1" applyFont="1" applyFill="1" applyBorder="1"/>
    <xf numFmtId="164" fontId="8" fillId="0" borderId="1" xfId="0" applyNumberFormat="1" applyFont="1" applyFill="1" applyBorder="1" applyAlignment="1">
      <alignment horizontal="right" vertical="center" wrapText="1" indent="1"/>
    </xf>
    <xf numFmtId="170" fontId="21" fillId="0" borderId="0" xfId="4" applyNumberFormat="1" applyFont="1" applyFill="1" applyBorder="1" applyAlignment="1">
      <alignment horizontal="right"/>
    </xf>
    <xf numFmtId="0" fontId="3" fillId="0" borderId="0" xfId="0" applyFont="1" applyFill="1" applyBorder="1" applyAlignment="1">
      <alignment vertical="center"/>
    </xf>
    <xf numFmtId="0" fontId="7" fillId="7" borderId="0" xfId="0" applyFont="1" applyFill="1" applyBorder="1" applyAlignment="1">
      <alignment horizontal="center" vertical="center"/>
    </xf>
    <xf numFmtId="166" fontId="3" fillId="0" borderId="0" xfId="0" applyNumberFormat="1" applyFont="1" applyFill="1" applyBorder="1" applyAlignment="1">
      <alignment horizontal="right" indent="1"/>
    </xf>
    <xf numFmtId="0" fontId="8" fillId="7" borderId="0" xfId="0" applyFont="1" applyFill="1" applyBorder="1"/>
    <xf numFmtId="2" fontId="3" fillId="0" borderId="0" xfId="0" applyNumberFormat="1" applyFont="1" applyFill="1" applyBorder="1"/>
    <xf numFmtId="169" fontId="3" fillId="5" borderId="16" xfId="0" applyNumberFormat="1" applyFont="1" applyFill="1" applyBorder="1" applyAlignment="1">
      <alignment horizontal="center" vertical="center"/>
    </xf>
    <xf numFmtId="171" fontId="3" fillId="0" borderId="0" xfId="0" applyNumberFormat="1" applyFont="1" applyFill="1" applyBorder="1"/>
    <xf numFmtId="0" fontId="22" fillId="0" borderId="0" xfId="0" applyFont="1" applyFill="1" applyBorder="1"/>
    <xf numFmtId="0" fontId="23" fillId="0" borderId="0" xfId="0" applyFont="1" applyFill="1" applyBorder="1" applyAlignment="1">
      <alignment vertical="center"/>
    </xf>
    <xf numFmtId="0" fontId="6" fillId="4" borderId="15" xfId="0" applyFont="1" applyFill="1" applyBorder="1" applyAlignment="1">
      <alignment horizontal="center" vertical="center"/>
    </xf>
    <xf numFmtId="0" fontId="6" fillId="5" borderId="16" xfId="0" applyFont="1" applyFill="1" applyBorder="1" applyAlignment="1">
      <alignment horizontal="center" vertical="center"/>
    </xf>
    <xf numFmtId="0" fontId="6" fillId="4" borderId="26" xfId="0" applyFont="1" applyFill="1" applyBorder="1" applyAlignment="1">
      <alignment horizontal="center" vertical="center" wrapText="1"/>
    </xf>
    <xf numFmtId="0" fontId="25" fillId="0" borderId="0" xfId="0" applyFont="1" applyFill="1" applyBorder="1"/>
    <xf numFmtId="0" fontId="3" fillId="0" borderId="0" xfId="0" applyFont="1" applyFill="1" applyBorder="1" applyAlignment="1">
      <alignment horizontal="right"/>
    </xf>
    <xf numFmtId="0" fontId="3" fillId="0" borderId="0" xfId="0" quotePrefix="1" applyFont="1" applyFill="1" applyBorder="1" applyAlignment="1">
      <alignment horizontal="right"/>
    </xf>
    <xf numFmtId="173" fontId="8" fillId="4" borderId="1" xfId="0" applyNumberFormat="1" applyFont="1" applyFill="1" applyBorder="1" applyAlignment="1">
      <alignment horizontal="center"/>
    </xf>
    <xf numFmtId="173" fontId="8" fillId="5" borderId="1" xfId="0" applyNumberFormat="1" applyFont="1" applyFill="1" applyBorder="1" applyAlignment="1">
      <alignment horizontal="center"/>
    </xf>
    <xf numFmtId="0" fontId="5" fillId="0" borderId="0" xfId="0" applyFont="1" applyFill="1" applyBorder="1" applyAlignment="1">
      <alignment horizontal="right"/>
    </xf>
    <xf numFmtId="0" fontId="5" fillId="0" borderId="0" xfId="0" applyFont="1" applyFill="1" applyBorder="1" applyAlignment="1">
      <alignment horizontal="center"/>
    </xf>
    <xf numFmtId="1" fontId="5" fillId="0" borderId="0" xfId="0" applyNumberFormat="1" applyFont="1" applyFill="1" applyBorder="1" applyAlignment="1">
      <alignment horizontal="center"/>
    </xf>
    <xf numFmtId="0" fontId="5" fillId="0" borderId="0" xfId="0" applyFont="1" applyFill="1" applyBorder="1" applyAlignment="1">
      <alignment horizontal="left"/>
    </xf>
    <xf numFmtId="1" fontId="3" fillId="4" borderId="15" xfId="0" applyNumberFormat="1" applyFont="1" applyFill="1" applyBorder="1" applyAlignment="1">
      <alignment horizontal="center" vertical="center" wrapText="1"/>
    </xf>
    <xf numFmtId="1" fontId="3" fillId="5" borderId="16" xfId="0" applyNumberFormat="1" applyFont="1" applyFill="1" applyBorder="1" applyAlignment="1">
      <alignment horizontal="center" vertical="center" wrapText="1"/>
    </xf>
    <xf numFmtId="1" fontId="8" fillId="4" borderId="15" xfId="0" applyNumberFormat="1" applyFont="1" applyFill="1" applyBorder="1" applyAlignment="1">
      <alignment horizontal="center" vertical="center" wrapText="1"/>
    </xf>
    <xf numFmtId="1" fontId="8" fillId="5" borderId="16" xfId="0" applyNumberFormat="1" applyFont="1" applyFill="1" applyBorder="1" applyAlignment="1">
      <alignment horizontal="center" vertical="center" wrapText="1"/>
    </xf>
    <xf numFmtId="1" fontId="3" fillId="0" borderId="0" xfId="0" applyNumberFormat="1" applyFont="1" applyFill="1" applyBorder="1"/>
    <xf numFmtId="0" fontId="3" fillId="4" borderId="15" xfId="0" applyFont="1" applyFill="1" applyBorder="1" applyAlignment="1">
      <alignment horizontal="center" vertical="center"/>
    </xf>
    <xf numFmtId="169" fontId="16" fillId="0" borderId="0" xfId="0" applyNumberFormat="1" applyFont="1" applyFill="1" applyBorder="1"/>
    <xf numFmtId="164" fontId="3" fillId="4" borderId="1" xfId="0" applyNumberFormat="1" applyFont="1" applyFill="1" applyBorder="1" applyAlignment="1">
      <alignment horizontal="center"/>
    </xf>
    <xf numFmtId="164" fontId="3" fillId="5" borderId="1" xfId="0" applyNumberFormat="1" applyFont="1" applyFill="1" applyBorder="1" applyAlignment="1">
      <alignment horizontal="center"/>
    </xf>
    <xf numFmtId="0" fontId="16" fillId="0" borderId="0" xfId="0" applyFont="1" applyFill="1" applyBorder="1" applyAlignment="1">
      <alignment horizontal="right"/>
    </xf>
    <xf numFmtId="164" fontId="8" fillId="5" borderId="1" xfId="0" applyNumberFormat="1" applyFont="1" applyFill="1" applyBorder="1" applyAlignment="1">
      <alignment horizontal="center"/>
    </xf>
    <xf numFmtId="0" fontId="8" fillId="0" borderId="0" xfId="0" applyFont="1" applyFill="1" applyBorder="1" applyAlignment="1">
      <alignment horizontal="right"/>
    </xf>
    <xf numFmtId="0" fontId="8" fillId="0" borderId="0" xfId="0" applyFont="1" applyFill="1" applyBorder="1" applyAlignment="1">
      <alignment horizontal="right" wrapText="1"/>
    </xf>
    <xf numFmtId="164" fontId="3" fillId="0" borderId="28" xfId="0" applyNumberFormat="1" applyFont="1" applyFill="1" applyBorder="1" applyAlignment="1">
      <alignment horizontal="center"/>
    </xf>
    <xf numFmtId="0" fontId="6" fillId="4" borderId="1" xfId="0" applyFont="1" applyFill="1" applyBorder="1" applyAlignment="1">
      <alignment horizontal="center" vertical="center" wrapText="1"/>
    </xf>
    <xf numFmtId="166" fontId="8" fillId="4" borderId="1" xfId="0" applyNumberFormat="1" applyFont="1" applyFill="1" applyBorder="1" applyAlignment="1">
      <alignment horizontal="center"/>
    </xf>
    <xf numFmtId="166" fontId="8" fillId="5" borderId="1" xfId="0" applyNumberFormat="1" applyFont="1" applyFill="1" applyBorder="1" applyAlignment="1">
      <alignment horizontal="center"/>
    </xf>
    <xf numFmtId="168" fontId="3" fillId="0" borderId="0" xfId="0" applyNumberFormat="1" applyFont="1" applyFill="1" applyBorder="1" applyAlignment="1">
      <alignment horizontal="center"/>
    </xf>
    <xf numFmtId="0" fontId="3" fillId="0" borderId="0" xfId="0" applyFont="1" applyFill="1" applyBorder="1" applyAlignment="1">
      <alignment horizontal="left" wrapText="1"/>
    </xf>
    <xf numFmtId="0" fontId="8" fillId="4" borderId="15" xfId="0" applyFont="1" applyFill="1" applyBorder="1" applyAlignment="1">
      <alignment horizontal="center" vertical="center" wrapText="1"/>
    </xf>
    <xf numFmtId="0" fontId="3" fillId="0" borderId="13" xfId="0" applyFont="1" applyFill="1" applyBorder="1" applyAlignment="1">
      <alignment horizontal="center" wrapText="1"/>
    </xf>
    <xf numFmtId="0" fontId="8" fillId="4" borderId="22" xfId="0" applyFont="1" applyFill="1" applyBorder="1" applyAlignment="1">
      <alignment horizontal="center" vertical="center" wrapText="1"/>
    </xf>
    <xf numFmtId="0" fontId="3" fillId="5" borderId="36" xfId="0" applyFont="1" applyFill="1" applyBorder="1" applyAlignment="1">
      <alignment horizontal="center" vertical="top" wrapText="1"/>
    </xf>
    <xf numFmtId="0" fontId="3" fillId="4" borderId="33" xfId="0" applyFont="1" applyFill="1" applyBorder="1" applyAlignment="1">
      <alignment horizontal="center" wrapText="1"/>
    </xf>
    <xf numFmtId="0" fontId="30" fillId="4" borderId="17" xfId="0" applyFont="1" applyFill="1" applyBorder="1" applyAlignment="1">
      <alignment horizontal="center" vertical="center" wrapText="1"/>
    </xf>
    <xf numFmtId="0" fontId="29" fillId="4" borderId="17"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1" xfId="0" applyFont="1" applyFill="1" applyBorder="1" applyAlignment="1">
      <alignment horizontal="center" vertical="center" wrapText="1"/>
    </xf>
    <xf numFmtId="164" fontId="8" fillId="0" borderId="22" xfId="0" applyNumberFormat="1" applyFont="1" applyFill="1" applyBorder="1" applyAlignment="1">
      <alignment vertical="center" wrapText="1"/>
    </xf>
    <xf numFmtId="166" fontId="3" fillId="0" borderId="0" xfId="0" applyNumberFormat="1" applyFont="1" applyFill="1" applyBorder="1" applyAlignment="1"/>
    <xf numFmtId="0" fontId="3" fillId="0" borderId="0" xfId="0" applyFont="1" applyFill="1" applyBorder="1" applyAlignment="1"/>
    <xf numFmtId="0" fontId="19" fillId="0" borderId="0" xfId="0" applyFont="1" applyFill="1" applyBorder="1" applyAlignment="1"/>
    <xf numFmtId="164" fontId="8" fillId="4" borderId="22" xfId="0" applyNumberFormat="1" applyFont="1" applyFill="1" applyBorder="1" applyAlignment="1">
      <alignment vertical="center"/>
    </xf>
    <xf numFmtId="164" fontId="8" fillId="4" borderId="23" xfId="0" applyNumberFormat="1" applyFont="1" applyFill="1" applyBorder="1" applyAlignment="1">
      <alignment vertical="center" wrapText="1"/>
    </xf>
    <xf numFmtId="1" fontId="3" fillId="4" borderId="33" xfId="0" applyNumberFormat="1" applyFont="1" applyFill="1" applyBorder="1" applyAlignment="1">
      <alignment horizontal="center" vertical="center" wrapText="1"/>
    </xf>
    <xf numFmtId="0" fontId="6" fillId="5" borderId="35" xfId="0" applyFont="1" applyFill="1" applyBorder="1" applyAlignment="1">
      <alignment horizontal="center" vertical="center" wrapText="1"/>
    </xf>
    <xf numFmtId="0" fontId="28" fillId="5" borderId="35" xfId="0" applyFont="1" applyFill="1" applyBorder="1" applyAlignment="1">
      <alignment horizontal="center" vertical="center" wrapText="1"/>
    </xf>
    <xf numFmtId="169" fontId="3" fillId="5" borderId="35" xfId="0" applyNumberFormat="1" applyFont="1" applyFill="1" applyBorder="1" applyAlignment="1">
      <alignment horizontal="center" vertical="center" wrapText="1"/>
    </xf>
    <xf numFmtId="0" fontId="3" fillId="3" borderId="13" xfId="0" applyFont="1" applyFill="1" applyBorder="1" applyAlignment="1">
      <alignment vertical="top" wrapText="1"/>
    </xf>
    <xf numFmtId="0" fontId="3" fillId="3" borderId="1" xfId="0" applyFont="1" applyFill="1" applyBorder="1" applyAlignment="1">
      <alignment horizontal="left" vertical="top" wrapText="1"/>
    </xf>
    <xf numFmtId="0" fontId="31" fillId="0" borderId="0" xfId="0" applyFont="1" applyFill="1" applyBorder="1"/>
    <xf numFmtId="0" fontId="3" fillId="0" borderId="1" xfId="0" applyFont="1" applyFill="1" applyBorder="1" applyAlignment="1">
      <alignment horizontal="left" vertical="center" wrapText="1"/>
    </xf>
    <xf numFmtId="0" fontId="3" fillId="0" borderId="0" xfId="0" applyFont="1" applyFill="1" applyBorder="1" applyAlignment="1">
      <alignment horizontal="left"/>
    </xf>
    <xf numFmtId="167" fontId="8" fillId="0" borderId="0" xfId="0" applyNumberFormat="1" applyFont="1" applyFill="1" applyBorder="1" applyAlignment="1">
      <alignment horizontal="center"/>
    </xf>
    <xf numFmtId="164" fontId="8" fillId="0" borderId="1" xfId="0" applyNumberFormat="1" applyFont="1" applyFill="1" applyBorder="1" applyAlignment="1">
      <alignment vertical="center" wrapText="1"/>
    </xf>
    <xf numFmtId="0" fontId="8" fillId="0" borderId="22" xfId="0" applyFont="1" applyFill="1" applyBorder="1" applyAlignment="1">
      <alignment vertical="center"/>
    </xf>
    <xf numFmtId="0" fontId="25" fillId="0" borderId="0" xfId="0" applyFont="1" applyFill="1" applyBorder="1" applyAlignment="1">
      <alignment wrapText="1"/>
    </xf>
    <xf numFmtId="0" fontId="25" fillId="0" borderId="42" xfId="0" applyFont="1" applyFill="1" applyBorder="1" applyAlignment="1">
      <alignment wrapText="1"/>
    </xf>
    <xf numFmtId="0" fontId="25" fillId="0" borderId="0" xfId="0" applyFont="1" applyFill="1" applyBorder="1" applyAlignment="1">
      <alignment vertical="top" wrapText="1"/>
    </xf>
    <xf numFmtId="1" fontId="29" fillId="5" borderId="18" xfId="0" applyNumberFormat="1" applyFont="1" applyFill="1" applyBorder="1" applyAlignment="1">
      <alignment horizontal="center" vertical="center" wrapText="1"/>
    </xf>
    <xf numFmtId="0" fontId="28" fillId="4" borderId="7" xfId="0" applyFont="1" applyFill="1" applyBorder="1" applyAlignment="1">
      <alignment horizontal="center" vertical="center" wrapText="1"/>
    </xf>
    <xf numFmtId="0" fontId="6" fillId="4" borderId="2" xfId="0" applyFont="1" applyFill="1" applyBorder="1" applyAlignment="1">
      <alignment horizontal="center" vertical="center" wrapText="1"/>
    </xf>
    <xf numFmtId="169" fontId="6" fillId="5" borderId="16" xfId="0" applyNumberFormat="1" applyFont="1" applyFill="1" applyBorder="1" applyAlignment="1">
      <alignment horizontal="center" vertical="center"/>
    </xf>
    <xf numFmtId="169" fontId="28" fillId="5" borderId="18" xfId="0" applyNumberFormat="1" applyFont="1" applyFill="1" applyBorder="1" applyAlignment="1">
      <alignment horizontal="center" vertical="center"/>
    </xf>
    <xf numFmtId="0" fontId="6" fillId="4" borderId="15" xfId="0" applyFont="1" applyFill="1" applyBorder="1" applyAlignment="1">
      <alignment horizontal="center" vertical="center" wrapText="1"/>
    </xf>
    <xf numFmtId="169" fontId="6" fillId="5" borderId="27" xfId="0" applyNumberFormat="1" applyFont="1" applyFill="1" applyBorder="1" applyAlignment="1">
      <alignment horizontal="center" vertical="center"/>
    </xf>
    <xf numFmtId="1" fontId="3" fillId="5" borderId="35" xfId="0" applyNumberFormat="1" applyFont="1" applyFill="1" applyBorder="1" applyAlignment="1">
      <alignment horizontal="center" vertical="center" wrapText="1"/>
    </xf>
    <xf numFmtId="0" fontId="28" fillId="4" borderId="17" xfId="0" applyFont="1" applyFill="1" applyBorder="1" applyAlignment="1">
      <alignment horizontal="center" vertical="center" wrapText="1"/>
    </xf>
    <xf numFmtId="0" fontId="6" fillId="5" borderId="14" xfId="0" applyFont="1" applyFill="1" applyBorder="1" applyAlignment="1">
      <alignment horizontal="center" vertical="center" wrapText="1"/>
    </xf>
    <xf numFmtId="169" fontId="29" fillId="5" borderId="18" xfId="0" applyNumberFormat="1" applyFont="1" applyFill="1" applyBorder="1" applyAlignment="1">
      <alignment horizontal="center" vertical="center" wrapText="1"/>
    </xf>
    <xf numFmtId="169" fontId="29" fillId="5" borderId="18" xfId="0" applyNumberFormat="1" applyFont="1" applyFill="1" applyBorder="1" applyAlignment="1">
      <alignment horizontal="center" vertical="center"/>
    </xf>
    <xf numFmtId="0" fontId="3" fillId="3" borderId="13" xfId="0" applyFont="1" applyFill="1" applyBorder="1" applyAlignment="1">
      <alignment horizontal="left" wrapText="1"/>
    </xf>
    <xf numFmtId="0" fontId="3" fillId="4" borderId="1" xfId="0" applyFont="1" applyFill="1" applyBorder="1" applyAlignment="1">
      <alignment horizontal="center" vertical="center"/>
    </xf>
    <xf numFmtId="0" fontId="3" fillId="5" borderId="14" xfId="0" applyFont="1" applyFill="1" applyBorder="1" applyAlignment="1">
      <alignment horizontal="center" vertical="center"/>
    </xf>
    <xf numFmtId="164" fontId="3" fillId="0" borderId="29" xfId="0" applyNumberFormat="1" applyFont="1" applyFill="1" applyBorder="1" applyAlignment="1">
      <alignment horizontal="center"/>
    </xf>
    <xf numFmtId="1" fontId="8" fillId="4" borderId="33" xfId="0" applyNumberFormat="1" applyFont="1" applyFill="1" applyBorder="1" applyAlignment="1">
      <alignment horizontal="center" vertical="center" wrapText="1"/>
    </xf>
    <xf numFmtId="1" fontId="8" fillId="5" borderId="35"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29" fillId="0" borderId="0" xfId="0" applyFont="1" applyFill="1" applyBorder="1"/>
    <xf numFmtId="1" fontId="29" fillId="4" borderId="17" xfId="0" applyNumberFormat="1" applyFont="1" applyFill="1" applyBorder="1" applyAlignment="1">
      <alignment horizontal="center" vertical="center" wrapText="1"/>
    </xf>
    <xf numFmtId="172" fontId="30" fillId="5" borderId="18" xfId="0" applyNumberFormat="1" applyFont="1" applyFill="1" applyBorder="1" applyAlignment="1">
      <alignment horizontal="center" vertical="center" wrapText="1"/>
    </xf>
    <xf numFmtId="1" fontId="33" fillId="0" borderId="0" xfId="0" applyNumberFormat="1" applyFont="1" applyAlignment="1">
      <alignment horizontal="center"/>
    </xf>
    <xf numFmtId="0" fontId="27" fillId="0" borderId="0" xfId="0" applyFont="1"/>
    <xf numFmtId="0" fontId="6" fillId="4" borderId="33" xfId="0" applyFont="1" applyFill="1" applyBorder="1" applyAlignment="1">
      <alignment horizontal="center" vertical="center" wrapText="1"/>
    </xf>
    <xf numFmtId="0" fontId="28" fillId="4" borderId="33" xfId="0" applyFont="1" applyFill="1" applyBorder="1" applyAlignment="1">
      <alignment horizontal="center" vertical="center" wrapText="1"/>
    </xf>
    <xf numFmtId="0" fontId="28" fillId="4" borderId="26" xfId="0" applyFont="1" applyFill="1" applyBorder="1" applyAlignment="1">
      <alignment horizontal="center" vertical="center" wrapText="1"/>
    </xf>
    <xf numFmtId="0" fontId="28" fillId="5" borderId="27" xfId="0" applyFont="1" applyFill="1" applyBorder="1" applyAlignment="1">
      <alignment horizontal="center" vertical="center" wrapText="1"/>
    </xf>
    <xf numFmtId="172" fontId="8" fillId="5" borderId="35" xfId="0" applyNumberFormat="1" applyFont="1" applyFill="1" applyBorder="1" applyAlignment="1">
      <alignment horizontal="center" wrapText="1"/>
    </xf>
    <xf numFmtId="1" fontId="3" fillId="4" borderId="33" xfId="0" applyNumberFormat="1" applyFont="1" applyFill="1" applyBorder="1" applyAlignment="1">
      <alignment horizontal="center" wrapText="1"/>
    </xf>
    <xf numFmtId="169" fontId="3" fillId="5" borderId="35" xfId="0" applyNumberFormat="1" applyFont="1" applyFill="1" applyBorder="1" applyAlignment="1">
      <alignment horizontal="center"/>
    </xf>
    <xf numFmtId="0" fontId="3" fillId="8" borderId="0" xfId="0" applyFont="1" applyFill="1" applyBorder="1"/>
    <xf numFmtId="0" fontId="3" fillId="8" borderId="15" xfId="0" applyFont="1" applyFill="1" applyBorder="1" applyAlignment="1">
      <alignment horizontal="right" wrapText="1" indent="1"/>
    </xf>
    <xf numFmtId="0" fontId="29" fillId="8" borderId="17" xfId="0" applyFont="1" applyFill="1" applyBorder="1" applyAlignment="1">
      <alignment horizontal="right" wrapText="1" indent="1"/>
    </xf>
    <xf numFmtId="0" fontId="29" fillId="8" borderId="17" xfId="0" applyFont="1" applyFill="1" applyBorder="1" applyAlignment="1">
      <alignment horizontal="justify" vertical="top" wrapText="1"/>
    </xf>
    <xf numFmtId="0" fontId="30" fillId="8" borderId="17" xfId="0" applyFont="1" applyFill="1" applyBorder="1" applyAlignment="1">
      <alignment horizontal="justify" vertical="top" wrapText="1"/>
    </xf>
    <xf numFmtId="1" fontId="29" fillId="4" borderId="7" xfId="0" applyNumberFormat="1" applyFont="1" applyFill="1" applyBorder="1" applyAlignment="1">
      <alignment horizontal="center" vertical="center" wrapText="1"/>
    </xf>
    <xf numFmtId="1" fontId="30" fillId="4" borderId="17" xfId="0" applyNumberFormat="1" applyFont="1" applyFill="1" applyBorder="1" applyAlignment="1">
      <alignment horizontal="center" vertical="center"/>
    </xf>
    <xf numFmtId="0" fontId="30" fillId="5" borderId="18" xfId="0" applyFont="1" applyFill="1" applyBorder="1" applyAlignment="1">
      <alignment horizontal="center" vertical="center"/>
    </xf>
    <xf numFmtId="0" fontId="3" fillId="4" borderId="15" xfId="0" applyFont="1" applyFill="1" applyBorder="1" applyAlignment="1">
      <alignment horizontal="center" vertical="center" wrapText="1"/>
    </xf>
    <xf numFmtId="0" fontId="3" fillId="4" borderId="33" xfId="0" applyFont="1" applyFill="1" applyBorder="1" applyAlignment="1">
      <alignment horizontal="center" vertical="center" wrapText="1"/>
    </xf>
    <xf numFmtId="169" fontId="3" fillId="5" borderId="16" xfId="0" applyNumberFormat="1" applyFont="1" applyFill="1" applyBorder="1" applyAlignment="1">
      <alignment horizontal="center" vertical="center" wrapText="1"/>
    </xf>
    <xf numFmtId="169" fontId="29" fillId="4" borderId="33" xfId="0" applyNumberFormat="1" applyFont="1" applyFill="1" applyBorder="1" applyAlignment="1">
      <alignment horizontal="center" vertical="center" wrapText="1"/>
    </xf>
    <xf numFmtId="0" fontId="3" fillId="4" borderId="2"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5" borderId="37" xfId="0" applyFont="1" applyFill="1" applyBorder="1" applyAlignment="1">
      <alignment horizontal="center" vertical="top" wrapText="1"/>
    </xf>
    <xf numFmtId="0" fontId="8" fillId="5" borderId="35" xfId="0" applyFont="1" applyFill="1" applyBorder="1" applyAlignment="1">
      <alignment horizontal="center" vertical="center"/>
    </xf>
    <xf numFmtId="0" fontId="8" fillId="0" borderId="1" xfId="0" applyFont="1" applyFill="1" applyBorder="1" applyAlignment="1">
      <alignment horizontal="left" vertical="center" wrapText="1"/>
    </xf>
    <xf numFmtId="0" fontId="28" fillId="4" borderId="33" xfId="0" applyFont="1" applyFill="1" applyBorder="1" applyAlignment="1">
      <alignment horizontal="center" vertical="center"/>
    </xf>
    <xf numFmtId="0" fontId="28" fillId="5" borderId="35" xfId="0" applyFont="1" applyFill="1" applyBorder="1" applyAlignment="1">
      <alignment horizontal="center" vertical="center"/>
    </xf>
    <xf numFmtId="0" fontId="8" fillId="5" borderId="16"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29" fillId="5" borderId="18"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29" fillId="5" borderId="35" xfId="0" applyFont="1" applyFill="1" applyBorder="1" applyAlignment="1">
      <alignment horizontal="center" vertical="center" wrapText="1"/>
    </xf>
    <xf numFmtId="0" fontId="3" fillId="4" borderId="33" xfId="0" applyFont="1" applyFill="1" applyBorder="1" applyAlignment="1">
      <alignment horizontal="center" vertical="top" wrapText="1"/>
    </xf>
    <xf numFmtId="0" fontId="29" fillId="4" borderId="33" xfId="0" applyFont="1" applyFill="1" applyBorder="1" applyAlignment="1">
      <alignment horizontal="center" vertical="top" wrapText="1"/>
    </xf>
    <xf numFmtId="0" fontId="29" fillId="5" borderId="37" xfId="0" applyFont="1" applyFill="1" applyBorder="1" applyAlignment="1">
      <alignment horizontal="center" vertical="top" wrapText="1"/>
    </xf>
    <xf numFmtId="0" fontId="29" fillId="4" borderId="5" xfId="0" applyFont="1" applyFill="1" applyBorder="1" applyAlignment="1">
      <alignment horizontal="center" vertical="top" wrapText="1"/>
    </xf>
    <xf numFmtId="0" fontId="29" fillId="4" borderId="7" xfId="0" applyFont="1" applyFill="1" applyBorder="1" applyAlignment="1">
      <alignment horizontal="center" vertical="top" wrapText="1"/>
    </xf>
    <xf numFmtId="0" fontId="3" fillId="5" borderId="35" xfId="0" applyFont="1" applyFill="1" applyBorder="1" applyAlignment="1">
      <alignment horizontal="center" vertical="top" wrapText="1"/>
    </xf>
    <xf numFmtId="0" fontId="34" fillId="0" borderId="0" xfId="0" applyFont="1" applyFill="1" applyBorder="1"/>
    <xf numFmtId="0" fontId="30" fillId="5" borderId="35" xfId="0" applyFont="1" applyFill="1" applyBorder="1" applyAlignment="1">
      <alignment horizontal="center" vertical="center"/>
    </xf>
    <xf numFmtId="169" fontId="29" fillId="4" borderId="17" xfId="0" applyNumberFormat="1" applyFont="1" applyFill="1" applyBorder="1" applyAlignment="1">
      <alignment horizontal="center" vertical="center"/>
    </xf>
    <xf numFmtId="0" fontId="3" fillId="8" borderId="2" xfId="0" applyFont="1" applyFill="1" applyBorder="1" applyAlignment="1">
      <alignment vertical="top" wrapText="1"/>
    </xf>
    <xf numFmtId="0" fontId="3" fillId="8" borderId="4" xfId="0" applyFont="1" applyFill="1" applyBorder="1" applyAlignment="1">
      <alignment vertical="top" wrapText="1"/>
    </xf>
    <xf numFmtId="0" fontId="3" fillId="8" borderId="5" xfId="0" applyFont="1" applyFill="1" applyBorder="1" applyAlignment="1">
      <alignment vertical="center" wrapText="1"/>
    </xf>
    <xf numFmtId="0" fontId="3" fillId="8" borderId="6" xfId="0" applyFont="1" applyFill="1" applyBorder="1" applyAlignment="1">
      <alignment vertical="top" wrapText="1"/>
    </xf>
    <xf numFmtId="0" fontId="3" fillId="8" borderId="7" xfId="0" applyFont="1" applyFill="1" applyBorder="1" applyAlignment="1">
      <alignment vertical="top" wrapText="1"/>
    </xf>
    <xf numFmtId="0" fontId="3" fillId="8" borderId="9" xfId="0" applyFont="1" applyFill="1" applyBorder="1" applyAlignment="1">
      <alignment vertical="top" wrapText="1"/>
    </xf>
    <xf numFmtId="0" fontId="3" fillId="8" borderId="5" xfId="0" applyFont="1" applyFill="1" applyBorder="1" applyAlignment="1">
      <alignment vertical="top" wrapText="1"/>
    </xf>
    <xf numFmtId="169" fontId="29" fillId="4" borderId="17" xfId="0" applyNumberFormat="1" applyFont="1" applyFill="1" applyBorder="1" applyAlignment="1">
      <alignment horizontal="center" vertical="top" wrapText="1"/>
    </xf>
    <xf numFmtId="0" fontId="30" fillId="5" borderId="35" xfId="0" applyFont="1" applyFill="1" applyBorder="1" applyAlignment="1">
      <alignment horizontal="center" vertical="top" wrapText="1"/>
    </xf>
    <xf numFmtId="0" fontId="29" fillId="8" borderId="17" xfId="0" applyFont="1" applyFill="1" applyBorder="1" applyAlignment="1">
      <alignment vertical="top" wrapText="1"/>
    </xf>
    <xf numFmtId="0" fontId="8" fillId="8" borderId="15" xfId="0" applyFont="1" applyFill="1" applyBorder="1" applyAlignment="1">
      <alignment vertical="top" wrapText="1"/>
    </xf>
    <xf numFmtId="0" fontId="30" fillId="8" borderId="7" xfId="0" applyFont="1" applyFill="1" applyBorder="1" applyAlignment="1">
      <alignment vertical="top" wrapText="1"/>
    </xf>
    <xf numFmtId="0" fontId="30" fillId="8" borderId="33" xfId="0" applyFont="1" applyFill="1" applyBorder="1" applyAlignment="1">
      <alignment vertical="top" wrapText="1"/>
    </xf>
    <xf numFmtId="0" fontId="29" fillId="5" borderId="38" xfId="0" applyFont="1" applyFill="1" applyBorder="1" applyAlignment="1">
      <alignment horizontal="center" vertical="center" wrapText="1"/>
    </xf>
    <xf numFmtId="0" fontId="3" fillId="5" borderId="37" xfId="0" applyFont="1" applyFill="1" applyBorder="1" applyAlignment="1">
      <alignment horizontal="center" vertical="center" wrapText="1"/>
    </xf>
    <xf numFmtId="0" fontId="3" fillId="5" borderId="36" xfId="0" applyFont="1" applyFill="1" applyBorder="1" applyAlignment="1">
      <alignment horizontal="center" vertical="center" wrapText="1"/>
    </xf>
    <xf numFmtId="0" fontId="29" fillId="0" borderId="0" xfId="0" applyFont="1" applyFill="1" applyBorder="1" applyAlignment="1">
      <alignment horizontal="right" indent="1"/>
    </xf>
    <xf numFmtId="166" fontId="29" fillId="0" borderId="5" xfId="0" applyNumberFormat="1" applyFont="1" applyFill="1" applyBorder="1" applyAlignment="1"/>
    <xf numFmtId="0" fontId="32" fillId="0" borderId="5" xfId="0" applyFont="1" applyFill="1" applyBorder="1" applyAlignment="1"/>
    <xf numFmtId="0" fontId="8" fillId="5" borderId="35" xfId="0" applyFont="1" applyFill="1" applyBorder="1" applyAlignment="1">
      <alignment horizontal="center" vertical="center" wrapText="1"/>
    </xf>
    <xf numFmtId="0" fontId="3" fillId="4" borderId="33" xfId="0" applyFont="1" applyFill="1" applyBorder="1" applyAlignment="1">
      <alignment horizontal="center" vertical="center"/>
    </xf>
    <xf numFmtId="0" fontId="3" fillId="8" borderId="34" xfId="0" applyFont="1" applyFill="1" applyBorder="1" applyAlignment="1">
      <alignment horizontal="right" vertical="top" wrapText="1" indent="1"/>
    </xf>
    <xf numFmtId="0" fontId="30" fillId="8" borderId="20" xfId="0" applyFont="1" applyFill="1" applyBorder="1" applyAlignment="1">
      <alignment horizontal="right" vertical="top" wrapText="1" indent="1"/>
    </xf>
    <xf numFmtId="0" fontId="29" fillId="8" borderId="39" xfId="0" applyFont="1" applyFill="1" applyBorder="1" applyAlignment="1">
      <alignment horizontal="right" vertical="top" wrapText="1" indent="1"/>
    </xf>
    <xf numFmtId="0" fontId="8" fillId="8" borderId="19" xfId="0" applyFont="1" applyFill="1" applyBorder="1" applyAlignment="1">
      <alignment horizontal="right" vertical="top" wrapText="1" indent="1"/>
    </xf>
    <xf numFmtId="0" fontId="29" fillId="4" borderId="26" xfId="0" applyFont="1" applyFill="1" applyBorder="1" applyAlignment="1">
      <alignment horizontal="center" vertical="center" wrapText="1"/>
    </xf>
    <xf numFmtId="0" fontId="29" fillId="5" borderId="27" xfId="0" applyFont="1" applyFill="1" applyBorder="1" applyAlignment="1">
      <alignment horizontal="center" vertical="center" wrapText="1"/>
    </xf>
    <xf numFmtId="0" fontId="3" fillId="8" borderId="19" xfId="0" applyFont="1" applyFill="1" applyBorder="1" applyAlignment="1">
      <alignment horizontal="right" vertical="top" wrapText="1" indent="1"/>
    </xf>
    <xf numFmtId="0" fontId="29" fillId="8" borderId="20" xfId="0" applyFont="1" applyFill="1" applyBorder="1" applyAlignment="1">
      <alignment horizontal="right" vertical="top" wrapText="1" indent="1"/>
    </xf>
    <xf numFmtId="0" fontId="29" fillId="0" borderId="0" xfId="0" applyFont="1" applyFill="1" applyBorder="1" applyAlignment="1">
      <alignment horizontal="left"/>
    </xf>
    <xf numFmtId="0" fontId="3" fillId="0" borderId="1" xfId="0" applyFont="1" applyFill="1" applyBorder="1" applyAlignment="1">
      <alignment vertical="center" wrapText="1"/>
    </xf>
    <xf numFmtId="0" fontId="8" fillId="0" borderId="1" xfId="0" applyFont="1" applyFill="1" applyBorder="1" applyAlignment="1">
      <alignment horizontal="left" vertical="center"/>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3" fillId="0" borderId="19" xfId="0" applyFont="1" applyFill="1" applyBorder="1" applyAlignment="1">
      <alignment horizontal="center" vertical="top"/>
    </xf>
    <xf numFmtId="0" fontId="3" fillId="0" borderId="34" xfId="0" applyFont="1" applyFill="1" applyBorder="1" applyAlignment="1">
      <alignment horizontal="center" vertical="top"/>
    </xf>
    <xf numFmtId="0" fontId="3" fillId="0" borderId="20" xfId="0" applyFont="1" applyFill="1" applyBorder="1" applyAlignment="1">
      <alignment horizontal="center" vertical="top"/>
    </xf>
    <xf numFmtId="164" fontId="8" fillId="4" borderId="1" xfId="0" applyNumberFormat="1" applyFont="1" applyFill="1" applyBorder="1" applyAlignment="1">
      <alignment horizontal="center"/>
    </xf>
    <xf numFmtId="0" fontId="3" fillId="3" borderId="1" xfId="0" applyFont="1" applyFill="1" applyBorder="1" applyAlignment="1">
      <alignment horizontal="center" wrapText="1"/>
    </xf>
    <xf numFmtId="0" fontId="3" fillId="8" borderId="15" xfId="0" applyFont="1" applyFill="1" applyBorder="1" applyAlignment="1">
      <alignment horizontal="center" vertical="center" wrapText="1"/>
    </xf>
    <xf numFmtId="0" fontId="29" fillId="4" borderId="33" xfId="0" applyFont="1" applyFill="1" applyBorder="1" applyAlignment="1">
      <alignment horizontal="center" vertical="center" wrapText="1"/>
    </xf>
    <xf numFmtId="0" fontId="35" fillId="0" borderId="0" xfId="0" applyFont="1"/>
    <xf numFmtId="0" fontId="36" fillId="0" borderId="0" xfId="1" applyFont="1" applyFill="1" applyBorder="1" applyAlignment="1" applyProtection="1"/>
    <xf numFmtId="0" fontId="36" fillId="0" borderId="0" xfId="1" applyFont="1" applyFill="1" applyBorder="1"/>
    <xf numFmtId="0" fontId="25" fillId="0" borderId="0" xfId="0" applyFont="1" applyBorder="1" applyAlignment="1">
      <alignment wrapText="1"/>
    </xf>
    <xf numFmtId="0" fontId="31" fillId="0" borderId="0" xfId="0" applyFont="1" applyBorder="1" applyAlignment="1">
      <alignment horizontal="left" wrapText="1"/>
    </xf>
    <xf numFmtId="0" fontId="34" fillId="0" borderId="0" xfId="0" applyFont="1" applyFill="1"/>
    <xf numFmtId="1" fontId="34" fillId="0" borderId="0" xfId="0" applyNumberFormat="1" applyFont="1" applyFill="1" applyAlignment="1">
      <alignment horizontal="center"/>
    </xf>
    <xf numFmtId="0" fontId="35" fillId="0" borderId="0" xfId="0" applyFont="1" applyFill="1"/>
    <xf numFmtId="164" fontId="35" fillId="0" borderId="1" xfId="0" applyNumberFormat="1" applyFont="1" applyFill="1" applyBorder="1" applyAlignment="1">
      <alignment horizontal="right" vertical="center" indent="1"/>
    </xf>
    <xf numFmtId="0" fontId="9" fillId="0" borderId="0" xfId="3" applyFont="1" applyFill="1" applyBorder="1"/>
    <xf numFmtId="166" fontId="35" fillId="0" borderId="0" xfId="0" applyNumberFormat="1" applyFont="1"/>
    <xf numFmtId="169" fontId="35" fillId="0" borderId="0" xfId="0" applyNumberFormat="1" applyFont="1"/>
    <xf numFmtId="0" fontId="29" fillId="0" borderId="0" xfId="0" applyFont="1" applyFill="1" applyBorder="1" applyAlignment="1"/>
    <xf numFmtId="0" fontId="6" fillId="2" borderId="25" xfId="0" applyFont="1" applyFill="1" applyBorder="1" applyAlignment="1">
      <alignment horizontal="left" vertical="center"/>
    </xf>
    <xf numFmtId="0" fontId="14" fillId="2" borderId="23" xfId="0" applyFont="1" applyFill="1" applyBorder="1" applyAlignment="1">
      <alignment horizontal="left" vertical="center"/>
    </xf>
    <xf numFmtId="0" fontId="3" fillId="5" borderId="16" xfId="0" applyFont="1" applyFill="1" applyBorder="1" applyAlignment="1">
      <alignment horizontal="center" vertical="top" wrapText="1"/>
    </xf>
    <xf numFmtId="0" fontId="29" fillId="5" borderId="35" xfId="0" applyFont="1" applyFill="1" applyBorder="1" applyAlignment="1">
      <alignment horizontal="center" vertical="top" wrapText="1"/>
    </xf>
    <xf numFmtId="0" fontId="29" fillId="5" borderId="18" xfId="0" applyFont="1" applyFill="1" applyBorder="1" applyAlignment="1">
      <alignment horizontal="center" vertical="top" wrapText="1"/>
    </xf>
    <xf numFmtId="0" fontId="13" fillId="0" borderId="2" xfId="0" applyFont="1" applyBorder="1"/>
    <xf numFmtId="0" fontId="13" fillId="0" borderId="3" xfId="0" applyFont="1" applyBorder="1"/>
    <xf numFmtId="0" fontId="35" fillId="0" borderId="4" xfId="0" applyFont="1" applyBorder="1"/>
    <xf numFmtId="0" fontId="37" fillId="2" borderId="6" xfId="0" applyFont="1" applyFill="1" applyBorder="1" applyAlignment="1">
      <alignment horizontal="left" indent="2"/>
    </xf>
    <xf numFmtId="0" fontId="13" fillId="0" borderId="5" xfId="0" applyFont="1" applyBorder="1"/>
    <xf numFmtId="0" fontId="13" fillId="0" borderId="0" xfId="0" applyFont="1" applyBorder="1"/>
    <xf numFmtId="0" fontId="35" fillId="0" borderId="6" xfId="0" applyFont="1" applyBorder="1"/>
    <xf numFmtId="0" fontId="38" fillId="0" borderId="6" xfId="0" applyFont="1" applyBorder="1" applyAlignment="1"/>
    <xf numFmtId="14" fontId="35" fillId="0" borderId="0" xfId="0" applyNumberFormat="1" applyFont="1"/>
    <xf numFmtId="0" fontId="39" fillId="2" borderId="6" xfId="0" applyFont="1" applyFill="1" applyBorder="1" applyAlignment="1"/>
    <xf numFmtId="0" fontId="13" fillId="0" borderId="0" xfId="1" applyFont="1" applyBorder="1" applyAlignment="1" applyProtection="1">
      <alignment horizontal="justify" vertical="top" wrapText="1"/>
    </xf>
    <xf numFmtId="0" fontId="38" fillId="0" borderId="6" xfId="1" applyFont="1" applyBorder="1" applyAlignment="1" applyProtection="1">
      <alignment horizontal="justify" vertical="top" wrapText="1"/>
    </xf>
    <xf numFmtId="0" fontId="42" fillId="2" borderId="6" xfId="0" applyFont="1" applyFill="1" applyBorder="1" applyAlignment="1"/>
    <xf numFmtId="0" fontId="4" fillId="0" borderId="0" xfId="1" applyFont="1" applyBorder="1" applyAlignment="1" applyProtection="1"/>
    <xf numFmtId="0" fontId="40" fillId="0" borderId="5" xfId="0" applyFont="1" applyBorder="1"/>
    <xf numFmtId="0" fontId="43" fillId="0" borderId="0" xfId="1" applyFont="1" applyBorder="1" applyAlignment="1" applyProtection="1"/>
    <xf numFmtId="0" fontId="13" fillId="0" borderId="6" xfId="0" applyFont="1" applyBorder="1"/>
    <xf numFmtId="0" fontId="13" fillId="0" borderId="7" xfId="0" applyFont="1" applyBorder="1"/>
    <xf numFmtId="0" fontId="13" fillId="0" borderId="8" xfId="0" applyFont="1" applyBorder="1"/>
    <xf numFmtId="0" fontId="35" fillId="0" borderId="9" xfId="0" applyFont="1" applyBorder="1"/>
    <xf numFmtId="0" fontId="13" fillId="0" borderId="0" xfId="0" applyFont="1"/>
    <xf numFmtId="0" fontId="36" fillId="0" borderId="0" xfId="1" applyFont="1" applyBorder="1" applyAlignment="1" applyProtection="1">
      <alignment horizontal="left" indent="2"/>
    </xf>
    <xf numFmtId="0" fontId="8" fillId="0" borderId="1" xfId="0" applyFont="1" applyFill="1" applyBorder="1" applyAlignment="1">
      <alignment vertical="center"/>
    </xf>
    <xf numFmtId="164" fontId="8" fillId="10" borderId="1" xfId="0" applyNumberFormat="1" applyFont="1" applyFill="1" applyBorder="1" applyAlignment="1">
      <alignment vertical="center" wrapText="1"/>
    </xf>
    <xf numFmtId="164" fontId="8" fillId="4" borderId="1" xfId="0" applyNumberFormat="1" applyFont="1" applyFill="1" applyBorder="1" applyAlignment="1">
      <alignment vertical="center" wrapText="1"/>
    </xf>
    <xf numFmtId="166" fontId="8" fillId="0" borderId="0" xfId="0" applyNumberFormat="1" applyFont="1" applyFill="1" applyBorder="1"/>
    <xf numFmtId="164" fontId="8" fillId="5" borderId="23" xfId="0" applyNumberFormat="1" applyFont="1" applyFill="1" applyBorder="1" applyAlignment="1">
      <alignment vertical="center" wrapText="1"/>
    </xf>
    <xf numFmtId="164" fontId="8" fillId="0" borderId="22" xfId="0" applyNumberFormat="1" applyFont="1" applyFill="1" applyBorder="1" applyAlignment="1">
      <alignment vertical="center"/>
    </xf>
    <xf numFmtId="0" fontId="45" fillId="0" borderId="0" xfId="0" applyFont="1" applyFill="1" applyBorder="1"/>
    <xf numFmtId="0" fontId="2" fillId="0" borderId="0" xfId="1" applyFill="1" applyBorder="1"/>
    <xf numFmtId="164" fontId="8" fillId="4" borderId="1" xfId="0" applyNumberFormat="1" applyFont="1" applyFill="1" applyBorder="1" applyAlignment="1">
      <alignment horizontal="center"/>
    </xf>
    <xf numFmtId="164" fontId="16" fillId="4" borderId="22" xfId="0" applyNumberFormat="1" applyFont="1" applyFill="1" applyBorder="1" applyAlignment="1">
      <alignment vertical="center"/>
    </xf>
    <xf numFmtId="0" fontId="35" fillId="0" borderId="0" xfId="0" applyFont="1" applyFill="1" applyBorder="1"/>
    <xf numFmtId="0" fontId="29" fillId="0" borderId="0" xfId="0" applyFont="1" applyFill="1" applyBorder="1" applyAlignment="1">
      <alignment horizontal="left" wrapText="1"/>
    </xf>
    <xf numFmtId="0" fontId="29" fillId="0" borderId="5" xfId="0" applyFont="1" applyFill="1" applyBorder="1" applyAlignment="1">
      <alignment horizontal="left" wrapText="1"/>
    </xf>
    <xf numFmtId="3" fontId="0" fillId="0" borderId="0" xfId="0" applyNumberFormat="1"/>
    <xf numFmtId="0" fontId="3" fillId="8" borderId="19" xfId="0" applyFont="1" applyFill="1" applyBorder="1" applyAlignment="1">
      <alignment horizontal="right" vertical="top" wrapText="1" indent="1"/>
    </xf>
    <xf numFmtId="0" fontId="29" fillId="8" borderId="20" xfId="0" applyFont="1" applyFill="1" applyBorder="1" applyAlignment="1">
      <alignment horizontal="right" vertical="top" wrapText="1" indent="1"/>
    </xf>
    <xf numFmtId="0" fontId="35" fillId="9" borderId="22" xfId="0" applyFont="1" applyFill="1" applyBorder="1" applyAlignment="1">
      <alignment horizontal="center"/>
    </xf>
    <xf numFmtId="0" fontId="35" fillId="9" borderId="25" xfId="0" applyFont="1" applyFill="1" applyBorder="1" applyAlignment="1">
      <alignment horizontal="center"/>
    </xf>
    <xf numFmtId="0" fontId="35" fillId="9" borderId="23" xfId="0" applyFont="1" applyFill="1" applyBorder="1" applyAlignment="1">
      <alignment horizontal="center"/>
    </xf>
    <xf numFmtId="0" fontId="37" fillId="2" borderId="5" xfId="0" applyFont="1" applyFill="1" applyBorder="1" applyAlignment="1">
      <alignment horizontal="left" wrapText="1" indent="2"/>
    </xf>
    <xf numFmtId="0" fontId="37" fillId="2" borderId="0" xfId="0" applyFont="1" applyFill="1" applyBorder="1" applyAlignment="1">
      <alignment horizontal="left" wrapText="1" indent="2"/>
    </xf>
    <xf numFmtId="0" fontId="44" fillId="0" borderId="5" xfId="0" applyFont="1" applyFill="1" applyBorder="1" applyAlignment="1">
      <alignment horizontal="center"/>
    </xf>
    <xf numFmtId="0" fontId="44" fillId="0" borderId="0" xfId="0" applyFont="1" applyFill="1" applyBorder="1" applyAlignment="1">
      <alignment horizontal="center"/>
    </xf>
    <xf numFmtId="0" fontId="37" fillId="2" borderId="5" xfId="0" applyFont="1" applyFill="1" applyBorder="1" applyAlignment="1">
      <alignment horizontal="left" indent="2"/>
    </xf>
    <xf numFmtId="0" fontId="37" fillId="2" borderId="0" xfId="0" applyFont="1" applyFill="1" applyBorder="1" applyAlignment="1">
      <alignment horizontal="left" indent="2"/>
    </xf>
    <xf numFmtId="0" fontId="6" fillId="3" borderId="13" xfId="0" applyFont="1" applyFill="1" applyBorder="1" applyAlignment="1">
      <alignment horizontal="right" vertical="top" wrapText="1" indent="2"/>
    </xf>
    <xf numFmtId="0" fontId="6" fillId="3" borderId="1" xfId="0" applyFont="1" applyFill="1" applyBorder="1" applyAlignment="1">
      <alignment horizontal="right" vertical="top" wrapText="1" indent="2"/>
    </xf>
    <xf numFmtId="0" fontId="6" fillId="3" borderId="14" xfId="0" applyFont="1" applyFill="1" applyBorder="1" applyAlignment="1">
      <alignment horizontal="right" vertical="top" wrapText="1" indent="2"/>
    </xf>
    <xf numFmtId="0" fontId="3" fillId="8" borderId="13" xfId="0" applyFont="1" applyFill="1" applyBorder="1" applyAlignment="1">
      <alignment horizontal="right" vertical="top" wrapText="1" indent="1"/>
    </xf>
    <xf numFmtId="0" fontId="3" fillId="8" borderId="19" xfId="0" applyFont="1" applyFill="1" applyBorder="1" applyAlignment="1">
      <alignment horizontal="right" vertical="top" wrapText="1" inden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45" xfId="0" applyFont="1" applyFill="1" applyBorder="1" applyAlignment="1">
      <alignment horizontal="right" vertical="top" wrapText="1" indent="2"/>
    </xf>
    <xf numFmtId="0" fontId="6" fillId="3" borderId="25" xfId="0" applyFont="1" applyFill="1" applyBorder="1" applyAlignment="1">
      <alignment horizontal="right" vertical="top" wrapText="1" indent="2"/>
    </xf>
    <xf numFmtId="0" fontId="6" fillId="3" borderId="32" xfId="0" applyFont="1" applyFill="1" applyBorder="1" applyAlignment="1">
      <alignment horizontal="right" vertical="top" wrapText="1" indent="2"/>
    </xf>
    <xf numFmtId="0" fontId="3" fillId="0" borderId="22" xfId="0" applyFont="1" applyFill="1" applyBorder="1" applyAlignment="1">
      <alignment horizontal="center" wrapText="1"/>
    </xf>
    <xf numFmtId="0" fontId="3" fillId="0" borderId="32" xfId="0" applyFont="1" applyFill="1" applyBorder="1" applyAlignment="1">
      <alignment horizontal="center" wrapText="1"/>
    </xf>
    <xf numFmtId="0" fontId="29" fillId="8" borderId="20" xfId="0" applyFont="1" applyFill="1" applyBorder="1" applyAlignment="1">
      <alignment horizontal="right" vertical="top" wrapText="1" indent="1"/>
    </xf>
    <xf numFmtId="0" fontId="29" fillId="8" borderId="13" xfId="0" applyFont="1" applyFill="1" applyBorder="1" applyAlignment="1">
      <alignment horizontal="right" vertical="top" wrapText="1" indent="1"/>
    </xf>
    <xf numFmtId="0" fontId="8" fillId="8" borderId="2" xfId="0" applyFont="1" applyFill="1" applyBorder="1" applyAlignment="1">
      <alignment horizontal="center" vertical="top" wrapText="1"/>
    </xf>
    <xf numFmtId="0" fontId="8" fillId="8" borderId="36" xfId="0" applyFont="1" applyFill="1" applyBorder="1" applyAlignment="1">
      <alignment horizontal="center" vertical="top" wrapText="1"/>
    </xf>
    <xf numFmtId="0" fontId="8" fillId="8" borderId="5" xfId="0" applyFont="1" applyFill="1" applyBorder="1" applyAlignment="1">
      <alignment horizontal="center" vertical="top" wrapText="1"/>
    </xf>
    <xf numFmtId="0" fontId="8" fillId="8" borderId="37" xfId="0" applyFont="1" applyFill="1" applyBorder="1" applyAlignment="1">
      <alignment horizontal="center" vertical="top" wrapText="1"/>
    </xf>
    <xf numFmtId="0" fontId="3" fillId="4" borderId="22" xfId="0" applyFont="1" applyFill="1" applyBorder="1" applyAlignment="1">
      <alignment horizontal="center" wrapText="1"/>
    </xf>
    <xf numFmtId="0" fontId="3" fillId="4" borderId="23" xfId="0" applyFont="1" applyFill="1" applyBorder="1" applyAlignment="1">
      <alignment horizontal="center" wrapText="1"/>
    </xf>
    <xf numFmtId="0" fontId="3" fillId="5" borderId="22" xfId="0" applyFont="1" applyFill="1" applyBorder="1" applyAlignment="1">
      <alignment horizontal="center" wrapText="1"/>
    </xf>
    <xf numFmtId="0" fontId="3" fillId="5" borderId="23" xfId="0" applyFont="1" applyFill="1" applyBorder="1" applyAlignment="1">
      <alignment horizontal="center" wrapText="1"/>
    </xf>
    <xf numFmtId="0" fontId="3" fillId="8" borderId="19" xfId="0" applyFont="1" applyFill="1" applyBorder="1" applyAlignment="1">
      <alignment horizontal="left" vertical="top" wrapText="1"/>
    </xf>
    <xf numFmtId="0" fontId="3" fillId="8" borderId="34" xfId="0" applyFont="1" applyFill="1" applyBorder="1" applyAlignment="1">
      <alignment horizontal="left" vertical="top" wrapText="1"/>
    </xf>
    <xf numFmtId="0" fontId="29" fillId="8" borderId="34" xfId="0" applyFont="1" applyFill="1" applyBorder="1" applyAlignment="1">
      <alignment horizontal="left" vertical="top" wrapText="1"/>
    </xf>
    <xf numFmtId="0" fontId="29" fillId="8" borderId="20" xfId="0" applyFont="1" applyFill="1" applyBorder="1" applyAlignment="1">
      <alignment horizontal="left" vertical="top" wrapText="1"/>
    </xf>
    <xf numFmtId="0" fontId="29" fillId="0" borderId="0" xfId="0" applyFont="1" applyFill="1" applyBorder="1" applyAlignment="1">
      <alignment horizontal="left"/>
    </xf>
    <xf numFmtId="0" fontId="29" fillId="0" borderId="0" xfId="0" applyFont="1" applyFill="1" applyBorder="1" applyAlignment="1">
      <alignment horizontal="left" wrapText="1"/>
    </xf>
    <xf numFmtId="0" fontId="30" fillId="0" borderId="22"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8" fillId="0" borderId="15" xfId="0" applyFont="1" applyFill="1" applyBorder="1" applyAlignment="1">
      <alignment vertical="center" wrapText="1"/>
    </xf>
    <xf numFmtId="0" fontId="8" fillId="0" borderId="17" xfId="0" applyFont="1" applyFill="1" applyBorder="1" applyAlignment="1">
      <alignment vertical="center"/>
    </xf>
    <xf numFmtId="0" fontId="8" fillId="0" borderId="15" xfId="0" applyFont="1" applyFill="1" applyBorder="1" applyAlignment="1">
      <alignment horizontal="left" vertical="center"/>
    </xf>
    <xf numFmtId="0" fontId="8" fillId="0" borderId="17" xfId="0" applyFont="1" applyFill="1" applyBorder="1" applyAlignment="1">
      <alignment horizontal="left" vertical="center"/>
    </xf>
    <xf numFmtId="0" fontId="8"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32" fillId="0" borderId="0" xfId="0" applyFont="1" applyFill="1" applyBorder="1" applyAlignment="1">
      <alignment horizontal="left"/>
    </xf>
    <xf numFmtId="0" fontId="6" fillId="2" borderId="43"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6" fillId="2" borderId="44"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7" xfId="0" applyFont="1" applyFill="1" applyBorder="1" applyAlignment="1">
      <alignment vertical="center" wrapText="1"/>
    </xf>
    <xf numFmtId="0" fontId="8" fillId="0" borderId="1" xfId="0" applyFont="1" applyFill="1" applyBorder="1" applyAlignment="1">
      <alignment vertical="center"/>
    </xf>
    <xf numFmtId="0" fontId="3" fillId="0" borderId="0" xfId="0" applyFont="1" applyFill="1" applyBorder="1" applyAlignment="1">
      <alignment horizontal="left" vertical="center"/>
    </xf>
    <xf numFmtId="0" fontId="3" fillId="5" borderId="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8" fillId="0" borderId="15"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8" fillId="0" borderId="15" xfId="0" applyFont="1" applyFill="1" applyBorder="1" applyAlignment="1">
      <alignment horizontal="left" vertical="center" wrapText="1" indent="1"/>
    </xf>
    <xf numFmtId="0" fontId="8" fillId="0" borderId="17" xfId="0" applyFont="1" applyFill="1" applyBorder="1" applyAlignment="1">
      <alignment horizontal="left" vertical="center" wrapText="1" indent="1"/>
    </xf>
    <xf numFmtId="0" fontId="8" fillId="0" borderId="17" xfId="0" applyFont="1" applyFill="1" applyBorder="1" applyAlignment="1">
      <alignment horizontal="left" vertical="center" indent="1"/>
    </xf>
    <xf numFmtId="0" fontId="6" fillId="2" borderId="22"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5" fillId="0" borderId="0" xfId="0" applyFont="1" applyFill="1" applyBorder="1" applyAlignment="1">
      <alignment horizontal="left" wrapText="1"/>
    </xf>
    <xf numFmtId="0" fontId="3" fillId="0" borderId="1" xfId="0" applyFont="1" applyFill="1" applyBorder="1" applyAlignment="1">
      <alignment horizontal="center"/>
    </xf>
    <xf numFmtId="173" fontId="8" fillId="0" borderId="1" xfId="0" applyNumberFormat="1" applyFont="1" applyFill="1" applyBorder="1" applyAlignment="1">
      <alignment horizontal="center"/>
    </xf>
    <xf numFmtId="0" fontId="3" fillId="8" borderId="2" xfId="0" applyFont="1" applyFill="1" applyBorder="1" applyAlignment="1">
      <alignment horizontal="center" wrapText="1"/>
    </xf>
    <xf numFmtId="0" fontId="3" fillId="8" borderId="36" xfId="0" applyFont="1" applyFill="1" applyBorder="1" applyAlignment="1">
      <alignment horizontal="center" wrapText="1"/>
    </xf>
    <xf numFmtId="173" fontId="3" fillId="0" borderId="1" xfId="0" applyNumberFormat="1" applyFont="1" applyFill="1" applyBorder="1" applyAlignment="1">
      <alignment horizontal="center"/>
    </xf>
    <xf numFmtId="0" fontId="6" fillId="8" borderId="15" xfId="0" applyFont="1" applyFill="1" applyBorder="1" applyAlignment="1">
      <alignment horizontal="justify" vertical="top" wrapText="1"/>
    </xf>
    <xf numFmtId="0" fontId="6" fillId="8" borderId="33" xfId="0" applyFont="1" applyFill="1" applyBorder="1" applyAlignment="1">
      <alignment horizontal="justify" vertical="top"/>
    </xf>
    <xf numFmtId="0" fontId="8" fillId="0" borderId="15"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3" fillId="8" borderId="15" xfId="0" applyFont="1" applyFill="1" applyBorder="1" applyAlignment="1">
      <alignment horizontal="justify" vertical="top" wrapText="1"/>
    </xf>
    <xf numFmtId="0" fontId="3" fillId="8" borderId="33" xfId="0" applyFont="1" applyFill="1" applyBorder="1" applyAlignment="1">
      <alignment horizontal="justify" vertical="top" wrapText="1"/>
    </xf>
    <xf numFmtId="0" fontId="3" fillId="0" borderId="33" xfId="0" applyFont="1" applyFill="1" applyBorder="1" applyAlignment="1">
      <alignment horizontal="center" vertical="center" wrapText="1"/>
    </xf>
    <xf numFmtId="0" fontId="29" fillId="8" borderId="7" xfId="0" applyFont="1" applyFill="1" applyBorder="1" applyAlignment="1">
      <alignment horizontal="center" wrapText="1"/>
    </xf>
    <xf numFmtId="0" fontId="29" fillId="8" borderId="38" xfId="0" applyFont="1" applyFill="1" applyBorder="1" applyAlignment="1">
      <alignment horizontal="center" wrapText="1"/>
    </xf>
    <xf numFmtId="0" fontId="3" fillId="0" borderId="15" xfId="0" applyFont="1" applyFill="1" applyBorder="1" applyAlignment="1">
      <alignment horizontal="center"/>
    </xf>
    <xf numFmtId="0" fontId="3" fillId="0" borderId="17" xfId="0" applyFont="1" applyFill="1" applyBorder="1" applyAlignment="1">
      <alignment horizontal="center"/>
    </xf>
    <xf numFmtId="0" fontId="31" fillId="0" borderId="41" xfId="0" applyFont="1" applyFill="1" applyBorder="1" applyAlignment="1">
      <alignment horizontal="left" wrapText="1"/>
    </xf>
    <xf numFmtId="0" fontId="3" fillId="0" borderId="19" xfId="0" applyFont="1" applyFill="1" applyBorder="1" applyAlignment="1">
      <alignment horizontal="center" vertical="top"/>
    </xf>
    <xf numFmtId="0" fontId="3" fillId="0" borderId="34" xfId="0" applyFont="1" applyFill="1" applyBorder="1" applyAlignment="1">
      <alignment horizontal="center" vertical="top"/>
    </xf>
    <xf numFmtId="0" fontId="3" fillId="0" borderId="20" xfId="0" applyFont="1" applyFill="1" applyBorder="1" applyAlignment="1">
      <alignment horizontal="center" vertical="top"/>
    </xf>
    <xf numFmtId="0" fontId="36" fillId="0" borderId="0" xfId="1" applyFont="1" applyFill="1" applyBorder="1" applyAlignment="1" applyProtection="1">
      <alignment horizontal="left"/>
    </xf>
    <xf numFmtId="0" fontId="6" fillId="3" borderId="11" xfId="0" applyFont="1" applyFill="1" applyBorder="1" applyAlignment="1">
      <alignment horizontal="left" vertical="center"/>
    </xf>
    <xf numFmtId="0" fontId="6" fillId="3" borderId="12" xfId="0" applyFont="1" applyFill="1" applyBorder="1" applyAlignment="1">
      <alignment horizontal="left" vertical="center"/>
    </xf>
    <xf numFmtId="0" fontId="8" fillId="3" borderId="1" xfId="0" applyFont="1" applyFill="1" applyBorder="1" applyAlignment="1">
      <alignment horizontal="center" vertical="center" wrapText="1"/>
    </xf>
    <xf numFmtId="0" fontId="8" fillId="3" borderId="14" xfId="0" applyFont="1" applyFill="1" applyBorder="1" applyAlignment="1">
      <alignment horizontal="center" vertical="center"/>
    </xf>
    <xf numFmtId="0" fontId="3" fillId="0" borderId="45" xfId="0" applyFont="1" applyFill="1" applyBorder="1" applyAlignment="1">
      <alignment horizontal="right" vertical="center" wrapText="1"/>
    </xf>
    <xf numFmtId="0" fontId="3" fillId="0" borderId="25"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 fillId="0" borderId="19" xfId="0" applyFont="1" applyFill="1" applyBorder="1" applyAlignment="1">
      <alignment horizontal="center"/>
    </xf>
    <xf numFmtId="0" fontId="3" fillId="0" borderId="20" xfId="0" applyFont="1" applyFill="1" applyBorder="1" applyAlignment="1">
      <alignment horizontal="center"/>
    </xf>
    <xf numFmtId="0" fontId="3" fillId="0" borderId="39" xfId="0" applyFont="1" applyFill="1" applyBorder="1" applyAlignment="1">
      <alignment horizontal="center" vertical="top"/>
    </xf>
    <xf numFmtId="0" fontId="8" fillId="8" borderId="15" xfId="0" applyFont="1" applyFill="1" applyBorder="1" applyAlignment="1">
      <alignment horizontal="justify" vertical="top" wrapText="1"/>
    </xf>
    <xf numFmtId="0" fontId="8" fillId="8" borderId="33" xfId="0" applyFont="1" applyFill="1" applyBorder="1" applyAlignment="1">
      <alignment horizontal="justify" vertical="top" wrapText="1"/>
    </xf>
    <xf numFmtId="0" fontId="8" fillId="0" borderId="17" xfId="0" applyFont="1" applyFill="1" applyBorder="1" applyAlignment="1">
      <alignment horizontal="center" vertical="center" wrapText="1"/>
    </xf>
    <xf numFmtId="0" fontId="28" fillId="8" borderId="33" xfId="0" applyFont="1" applyFill="1" applyBorder="1" applyAlignment="1">
      <alignment horizontal="left" vertical="top" wrapText="1"/>
    </xf>
    <xf numFmtId="0" fontId="28" fillId="8" borderId="26" xfId="0" applyFont="1" applyFill="1" applyBorder="1" applyAlignment="1">
      <alignment horizontal="left" vertical="top" wrapText="1"/>
    </xf>
    <xf numFmtId="0" fontId="3" fillId="0" borderId="2" xfId="0" applyFont="1" applyFill="1" applyBorder="1" applyAlignment="1">
      <alignment horizontal="center"/>
    </xf>
    <xf numFmtId="0" fontId="3" fillId="0" borderId="4" xfId="0" applyFont="1" applyFill="1" applyBorder="1" applyAlignment="1">
      <alignment horizontal="center"/>
    </xf>
    <xf numFmtId="0" fontId="3" fillId="0" borderId="7" xfId="0" applyFont="1" applyFill="1" applyBorder="1" applyAlignment="1">
      <alignment horizontal="center"/>
    </xf>
    <xf numFmtId="0" fontId="3" fillId="0" borderId="9" xfId="0" applyFont="1" applyFill="1" applyBorder="1" applyAlignment="1">
      <alignment horizontal="center"/>
    </xf>
    <xf numFmtId="0" fontId="17" fillId="0" borderId="19" xfId="0" applyFont="1" applyFill="1" applyBorder="1" applyAlignment="1">
      <alignment horizontal="center" vertical="top"/>
    </xf>
    <xf numFmtId="0" fontId="17" fillId="0" borderId="34" xfId="0" applyFont="1" applyFill="1" applyBorder="1" applyAlignment="1">
      <alignment horizontal="center" vertical="top"/>
    </xf>
    <xf numFmtId="0" fontId="17" fillId="0" borderId="20" xfId="0" applyFont="1" applyFill="1" applyBorder="1" applyAlignment="1">
      <alignment horizontal="center" vertical="top"/>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8" borderId="15" xfId="0" applyFont="1" applyFill="1" applyBorder="1" applyAlignment="1">
      <alignment horizontal="left" vertical="top" wrapText="1"/>
    </xf>
    <xf numFmtId="0" fontId="3" fillId="8" borderId="33" xfId="0" applyFont="1" applyFill="1" applyBorder="1" applyAlignment="1">
      <alignment horizontal="left" vertical="top" wrapText="1"/>
    </xf>
    <xf numFmtId="0" fontId="8" fillId="3" borderId="1" xfId="0" applyFont="1" applyFill="1" applyBorder="1" applyAlignment="1">
      <alignment horizontal="center" wrapText="1"/>
    </xf>
    <xf numFmtId="0" fontId="8" fillId="3" borderId="14" xfId="0" applyFont="1" applyFill="1" applyBorder="1" applyAlignment="1">
      <alignment horizontal="center"/>
    </xf>
    <xf numFmtId="0" fontId="3" fillId="3" borderId="1" xfId="0" applyFont="1" applyFill="1" applyBorder="1" applyAlignment="1">
      <alignment horizontal="center" wrapText="1"/>
    </xf>
    <xf numFmtId="0" fontId="3" fillId="3" borderId="1" xfId="0" applyFont="1" applyFill="1" applyBorder="1" applyAlignment="1">
      <alignment horizont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0" fontId="28" fillId="8" borderId="17" xfId="0" applyFont="1" applyFill="1" applyBorder="1" applyAlignment="1">
      <alignment horizontal="left" vertical="top" wrapText="1"/>
    </xf>
    <xf numFmtId="0" fontId="29" fillId="8" borderId="33" xfId="0" applyFont="1" applyFill="1" applyBorder="1" applyAlignment="1">
      <alignment horizontal="left" vertical="top" wrapText="1"/>
    </xf>
    <xf numFmtId="0" fontId="29" fillId="8" borderId="17" xfId="0" applyFont="1" applyFill="1" applyBorder="1" applyAlignment="1">
      <alignment horizontal="left" vertical="top" wrapText="1"/>
    </xf>
    <xf numFmtId="0" fontId="25" fillId="0" borderId="42" xfId="0" applyFont="1" applyFill="1" applyBorder="1" applyAlignment="1">
      <alignment horizontal="left" wrapText="1"/>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top"/>
    </xf>
    <xf numFmtId="0" fontId="8" fillId="3" borderId="1" xfId="0" applyFont="1" applyFill="1" applyBorder="1" applyAlignment="1">
      <alignment horizontal="center" vertical="top" wrapText="1"/>
    </xf>
    <xf numFmtId="0" fontId="8" fillId="3" borderId="14" xfId="0" applyFont="1" applyFill="1" applyBorder="1" applyAlignment="1">
      <alignment horizontal="center" vertical="top"/>
    </xf>
    <xf numFmtId="0" fontId="17" fillId="0" borderId="13" xfId="0" applyFont="1" applyFill="1" applyBorder="1" applyAlignment="1">
      <alignment horizontal="center" vertical="top"/>
    </xf>
    <xf numFmtId="0" fontId="16" fillId="0" borderId="1" xfId="0" applyFont="1" applyFill="1" applyBorder="1" applyAlignment="1">
      <alignment horizontal="center" vertical="center" wrapText="1"/>
    </xf>
    <xf numFmtId="0" fontId="3" fillId="4" borderId="30" xfId="0" applyFont="1" applyFill="1" applyBorder="1" applyAlignment="1">
      <alignment horizontal="center" wrapText="1"/>
    </xf>
    <xf numFmtId="0" fontId="3" fillId="4" borderId="31" xfId="0" applyFont="1" applyFill="1" applyBorder="1" applyAlignment="1">
      <alignment horizontal="center" wrapText="1"/>
    </xf>
    <xf numFmtId="0" fontId="3" fillId="5" borderId="30" xfId="0" applyFont="1" applyFill="1" applyBorder="1" applyAlignment="1">
      <alignment horizontal="center" wrapText="1"/>
    </xf>
    <xf numFmtId="0" fontId="3" fillId="5" borderId="31" xfId="0" applyFont="1" applyFill="1" applyBorder="1" applyAlignment="1">
      <alignment horizontal="center" wrapText="1"/>
    </xf>
    <xf numFmtId="0" fontId="3" fillId="6" borderId="22" xfId="0" applyFont="1" applyFill="1" applyBorder="1" applyAlignment="1">
      <alignment horizontal="center"/>
    </xf>
    <xf numFmtId="0" fontId="3" fillId="6" borderId="23" xfId="0" applyFont="1" applyFill="1" applyBorder="1" applyAlignment="1">
      <alignment horizontal="center"/>
    </xf>
    <xf numFmtId="2" fontId="3" fillId="4" borderId="30" xfId="0" applyNumberFormat="1" applyFont="1" applyFill="1" applyBorder="1" applyAlignment="1">
      <alignment horizontal="center" wrapText="1"/>
    </xf>
    <xf numFmtId="2" fontId="3" fillId="4" borderId="31" xfId="0" applyNumberFormat="1" applyFont="1" applyFill="1" applyBorder="1" applyAlignment="1">
      <alignment horizontal="center" wrapText="1"/>
    </xf>
    <xf numFmtId="2" fontId="3" fillId="6" borderId="22" xfId="0" applyNumberFormat="1" applyFont="1" applyFill="1" applyBorder="1" applyAlignment="1">
      <alignment horizontal="center"/>
    </xf>
    <xf numFmtId="2" fontId="3" fillId="6" borderId="23" xfId="0" applyNumberFormat="1" applyFont="1" applyFill="1" applyBorder="1" applyAlignment="1">
      <alignment horizontal="center"/>
    </xf>
    <xf numFmtId="164" fontId="8" fillId="4" borderId="1" xfId="0" applyNumberFormat="1" applyFont="1" applyFill="1" applyBorder="1" applyAlignment="1">
      <alignment horizontal="center"/>
    </xf>
    <xf numFmtId="0" fontId="8" fillId="8" borderId="15" xfId="0" applyFont="1" applyFill="1" applyBorder="1" applyAlignment="1">
      <alignment horizontal="center" vertical="center"/>
    </xf>
    <xf numFmtId="0" fontId="8" fillId="8" borderId="17" xfId="0" applyFont="1" applyFill="1" applyBorder="1" applyAlignment="1">
      <alignment horizontal="center" vertical="center"/>
    </xf>
    <xf numFmtId="0" fontId="8" fillId="8" borderId="33" xfId="0" applyFont="1" applyFill="1" applyBorder="1" applyAlignment="1">
      <alignment horizontal="center" vertical="center"/>
    </xf>
    <xf numFmtId="0" fontId="6" fillId="8" borderId="22" xfId="0" applyFont="1" applyFill="1" applyBorder="1" applyAlignment="1">
      <alignment horizontal="left" vertical="top" wrapText="1"/>
    </xf>
    <xf numFmtId="0" fontId="6" fillId="8" borderId="23" xfId="0" applyFont="1" applyFill="1" applyBorder="1" applyAlignment="1">
      <alignment horizontal="left" vertical="top" wrapText="1"/>
    </xf>
    <xf numFmtId="0" fontId="6" fillId="8" borderId="15" xfId="0" applyFont="1" applyFill="1" applyBorder="1" applyAlignment="1">
      <alignment horizontal="left" vertical="top" wrapText="1"/>
    </xf>
    <xf numFmtId="169" fontId="29" fillId="5" borderId="35" xfId="0" applyNumberFormat="1" applyFont="1" applyFill="1" applyBorder="1" applyAlignment="1">
      <alignment horizontal="center" vertical="center" wrapText="1"/>
    </xf>
    <xf numFmtId="0" fontId="29" fillId="4" borderId="33" xfId="0" applyFont="1" applyFill="1" applyBorder="1" applyAlignment="1">
      <alignment horizontal="center" vertical="center" wrapText="1"/>
    </xf>
    <xf numFmtId="0" fontId="3" fillId="0" borderId="13" xfId="0" applyFont="1" applyFill="1" applyBorder="1" applyAlignment="1">
      <alignment horizontal="center" vertical="top"/>
    </xf>
    <xf numFmtId="0" fontId="3" fillId="0" borderId="21" xfId="0" applyFont="1" applyFill="1" applyBorder="1" applyAlignment="1">
      <alignment horizontal="center" vertical="top"/>
    </xf>
    <xf numFmtId="0" fontId="28" fillId="8" borderId="26" xfId="0" applyFont="1" applyFill="1" applyBorder="1" applyAlignment="1">
      <alignment horizontal="justify" vertical="top" wrapText="1"/>
    </xf>
    <xf numFmtId="0" fontId="6" fillId="8" borderId="40" xfId="0" applyFont="1" applyFill="1" applyBorder="1" applyAlignment="1">
      <alignment horizontal="justify" vertical="top" wrapText="1"/>
    </xf>
    <xf numFmtId="0" fontId="8" fillId="8" borderId="15" xfId="0" applyFont="1" applyFill="1" applyBorder="1" applyAlignment="1">
      <alignment horizontal="left" vertical="top" wrapText="1"/>
    </xf>
    <xf numFmtId="0" fontId="8" fillId="8" borderId="33" xfId="0" applyFont="1" applyFill="1" applyBorder="1" applyAlignment="1">
      <alignment horizontal="left" vertical="top" wrapText="1"/>
    </xf>
    <xf numFmtId="0" fontId="3" fillId="8" borderId="15"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6" fillId="8" borderId="2" xfId="0" applyFont="1" applyFill="1" applyBorder="1" applyAlignment="1">
      <alignment horizontal="justify" vertical="top" wrapText="1"/>
    </xf>
    <xf numFmtId="0" fontId="30" fillId="8" borderId="33" xfId="0" applyFont="1" applyFill="1" applyBorder="1" applyAlignment="1">
      <alignment horizontal="left" vertical="top" wrapText="1"/>
    </xf>
    <xf numFmtId="0" fontId="30" fillId="8" borderId="17" xfId="0" applyFont="1" applyFill="1" applyBorder="1" applyAlignment="1">
      <alignment horizontal="left" vertical="top" wrapText="1"/>
    </xf>
  </cellXfs>
  <cellStyles count="7">
    <cellStyle name="Hipersaitas" xfId="1" builtinId="8"/>
    <cellStyle name="Įprastas" xfId="0" builtinId="0"/>
    <cellStyle name="Normal 18" xfId="3" xr:uid="{1A4A2765-3B13-476A-B988-826493B987E5}"/>
    <cellStyle name="Normal 4" xfId="4" xr:uid="{C366F9C7-F114-4B72-8C90-9D319E9CA060}"/>
    <cellStyle name="Normal 5" xfId="5" xr:uid="{2DD1DBB4-8FD1-4DD8-8AD9-21E3254968C6}"/>
    <cellStyle name="Normal 6" xfId="2" xr:uid="{39C61853-18A8-4376-BEEE-408C39E94774}"/>
    <cellStyle name="Normal_VLK PSDFvykd" xfId="6" xr:uid="{91D00095-F419-45F2-A0D1-7330231AD8DA}"/>
  </cellStyles>
  <dxfs count="0"/>
  <tableStyles count="0" defaultTableStyle="TableStyleMedium2" defaultPivotStyle="PivotStyleLight16"/>
  <colors>
    <mruColors>
      <color rgb="FFB5DDF0"/>
      <color rgb="FFC9D6D9"/>
      <color rgb="FF47ABD9"/>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ifi.lt/" TargetMode="External"/></Relationships>
</file>

<file path=xl/drawings/drawing1.xml><?xml version="1.0" encoding="utf-8"?>
<xdr:wsDr xmlns:xdr="http://schemas.openxmlformats.org/drawingml/2006/spreadsheetDrawing" xmlns:a="http://schemas.openxmlformats.org/drawingml/2006/main">
  <xdr:twoCellAnchor>
    <xdr:from>
      <xdr:col>2</xdr:col>
      <xdr:colOff>160020</xdr:colOff>
      <xdr:row>0</xdr:row>
      <xdr:rowOff>0</xdr:rowOff>
    </xdr:from>
    <xdr:to>
      <xdr:col>3</xdr:col>
      <xdr:colOff>4876800</xdr:colOff>
      <xdr:row>0</xdr:row>
      <xdr:rowOff>1371600</xdr:rowOff>
    </xdr:to>
    <xdr:pic>
      <xdr:nvPicPr>
        <xdr:cNvPr id="3" name="Paveikslėlis 2">
          <a:hlinkClick xmlns:r="http://schemas.openxmlformats.org/officeDocument/2006/relationships" r:id="rId1"/>
          <a:extLst>
            <a:ext uri="{FF2B5EF4-FFF2-40B4-BE49-F238E27FC236}">
              <a16:creationId xmlns:a16="http://schemas.microsoft.com/office/drawing/2014/main" id="{3CFE4070-9260-4178-BC29-0000F674C50C}"/>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178" r="2754"/>
        <a:stretch/>
      </xdr:blipFill>
      <xdr:spPr bwMode="auto">
        <a:xfrm>
          <a:off x="441960" y="0"/>
          <a:ext cx="502920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813372</xdr:colOff>
      <xdr:row>23</xdr:row>
      <xdr:rowOff>127014</xdr:rowOff>
    </xdr:from>
    <xdr:to>
      <xdr:col>4</xdr:col>
      <xdr:colOff>599327</xdr:colOff>
      <xdr:row>24</xdr:row>
      <xdr:rowOff>185684</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174739</xdr:colOff>
      <xdr:row>31</xdr:row>
      <xdr:rowOff>279621</xdr:rowOff>
    </xdr:from>
    <xdr:to>
      <xdr:col>4</xdr:col>
      <xdr:colOff>1269615</xdr:colOff>
      <xdr:row>31</xdr:row>
      <xdr:rowOff>610027</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〖0,5⋅Y〗_np10t</a:t>
              </a:r>
              <a:endParaRPr lang="lt-LT" sz="800" i="0"/>
            </a:p>
          </xdr:txBody>
        </xdr:sp>
      </mc:Fallback>
    </mc:AlternateContent>
    <xdr:clientData/>
  </xdr:twoCellAnchor>
  <xdr:twoCellAnchor editAs="oneCell">
    <xdr:from>
      <xdr:col>3</xdr:col>
      <xdr:colOff>193812</xdr:colOff>
      <xdr:row>33</xdr:row>
      <xdr:rowOff>94256</xdr:rowOff>
    </xdr:from>
    <xdr:to>
      <xdr:col>4</xdr:col>
      <xdr:colOff>1393030</xdr:colOff>
      <xdr:row>33</xdr:row>
      <xdr:rowOff>750094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ad>
                          <m:radPr>
                            <m:ctrlPr>
                              <a:rPr lang="en-US" sz="1100" b="0" i="1" baseline="0">
                                <a:effectLst/>
                                <a:latin typeface="Cambria Math" panose="02040503050406030204" pitchFamily="18" charset="0"/>
                                <a:ea typeface="+mn-ea"/>
                                <a:cs typeface="+mn-cs"/>
                              </a:rPr>
                            </m:ctrlPr>
                          </m:radPr>
                          <m:deg>
                            <m:r>
                              <m:rPr>
                                <m:brk m:alnAt="7"/>
                              </m:rPr>
                              <a:rPr lang="en-US" sz="1100" b="0" i="1" baseline="0">
                                <a:effectLst/>
                                <a:latin typeface="Cambria Math" panose="02040503050406030204" pitchFamily="18" charset="0"/>
                                <a:ea typeface="+mn-ea"/>
                                <a:cs typeface="+mn-cs"/>
                              </a:rPr>
                              <m:t>1</m:t>
                            </m:r>
                            <m:r>
                              <a:rPr lang="en-US" sz="1100" b="0" i="1" baseline="0">
                                <a:effectLst/>
                                <a:latin typeface="Cambria Math" panose="02040503050406030204" pitchFamily="18" charset="0"/>
                                <a:ea typeface="+mn-ea"/>
                                <a:cs typeface="+mn-cs"/>
                              </a:rPr>
                              <m:t>0</m:t>
                            </m:r>
                          </m:deg>
                          <m:e>
                            <m:f>
                              <m:fPr>
                                <m:ctrlPr>
                                  <a:rPr lang="en-US" sz="1100" b="0" i="1" baseline="0">
                                    <a:effectLst/>
                                    <a:latin typeface="Cambria Math" panose="02040503050406030204" pitchFamily="18" charset="0"/>
                                    <a:ea typeface="+mn-ea"/>
                                    <a:cs typeface="+mn-cs"/>
                                  </a:rPr>
                                </m:ctrlPr>
                              </m:fPr>
                              <m:num>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d>
                                  <m:dPr>
                                    <m:ctrlPr>
                                      <a:rPr lang="en-US" sz="1100" b="0" i="1" baseline="0">
                                        <a:effectLst/>
                                        <a:latin typeface="Cambria Math" panose="02040503050406030204" pitchFamily="18" charset="0"/>
                                        <a:ea typeface="+mn-ea"/>
                                        <a:cs typeface="+mn-cs"/>
                                      </a:rPr>
                                    </m:ctrlPr>
                                  </m:dPr>
                                  <m:e>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+2</m:t>
                                    </m:r>
                                  </m:e>
                                </m:d>
                              </m:num>
                              <m:den>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r>
                                  <a:rPr lang="en-US" sz="1100" b="0" i="1" baseline="0">
                                    <a:effectLst/>
                                    <a:latin typeface="Cambria Math" panose="02040503050406030204" pitchFamily="18" charset="0"/>
                                    <a:ea typeface="+mn-ea"/>
                                    <a:cs typeface="+mn-cs"/>
                                  </a:rPr>
                                  <m:t>(</m:t>
                                </m:r>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−8)</m:t>
                                </m:r>
                              </m:den>
                            </m:f>
                          </m:e>
                        </m:rad>
                        <m:sSub>
                          <m:sSubPr>
                            <m:ctrlPr>
                              <a:rPr lang="en-US" sz="1100" b="0" i="1" baseline="0">
                                <a:effectLst/>
                                <a:latin typeface="Cambria Math" panose="02040503050406030204" pitchFamily="18" charset="0"/>
                                <a:ea typeface="+mn-ea"/>
                                <a:cs typeface="+mn-cs"/>
                              </a:rPr>
                            </m:ctrlPr>
                          </m:sSubPr>
                          <m:e>
                            <m:r>
                              <a:rPr lang="en-US" sz="1100" b="0" i="1" baseline="0">
                                <a:effectLst/>
                                <a:latin typeface="Cambria Math" panose="02040503050406030204" pitchFamily="18" charset="0"/>
                                <a:ea typeface="+mn-ea"/>
                                <a:cs typeface="+mn-cs"/>
                              </a:rPr>
                              <m:t>𝑑</m:t>
                            </m:r>
                          </m:e>
                          <m:sub>
                            <m:r>
                              <a:rPr lang="en-US" sz="1100" b="0" i="1" baseline="0">
                                <a:effectLst/>
                                <a:latin typeface="Cambria Math" panose="02040503050406030204" pitchFamily="18" charset="0"/>
                                <a:ea typeface="+mn-ea"/>
                                <a:cs typeface="+mn-cs"/>
                              </a:rPr>
                              <m:t>𝑡</m:t>
                            </m:r>
                          </m:sub>
                        </m:sSub>
                        <m:r>
                          <a:rPr lang="en-US" sz="1100" b="0" i="1" baseline="0">
                            <a:effectLst/>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m:t>
                    </m:r>
                  </m:oMath>
                </m:oMathPara>
              </a14:m>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t>
              </a:r>
              <a:r>
                <a:rPr lang="en-US" sz="1100" b="0" i="0" baseline="0">
                  <a:effectLst/>
                  <a:latin typeface="+mn-lt"/>
                  <a:ea typeface="+mn-ea"/>
                  <a:cs typeface="+mn-cs"/>
                </a:rPr>
                <a:t>10&amp;(Y^∗ (t+2))/(Y^∗ (t−8)))𝑑_𝑡−</a:t>
              </a:r>
              <a:r>
                <a:rPr lang="en-US" sz="1100" b="0" i="0" baseline="0">
                  <a:effectLst/>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)∗100</a:t>
              </a:r>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27</xdr:row>
      <xdr:rowOff>200504</xdr:rowOff>
    </xdr:from>
    <xdr:to>
      <xdr:col>4</xdr:col>
      <xdr:colOff>890124</xdr:colOff>
      <xdr:row>28</xdr:row>
      <xdr:rowOff>194817</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13</xdr:row>
      <xdr:rowOff>78342</xdr:rowOff>
    </xdr:from>
    <xdr:to>
      <xdr:col>4</xdr:col>
      <xdr:colOff>1025270</xdr:colOff>
      <xdr:row>15</xdr:row>
      <xdr:rowOff>217420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7</xdr:row>
      <xdr:rowOff>177586</xdr:rowOff>
    </xdr:from>
    <xdr:to>
      <xdr:col>4</xdr:col>
      <xdr:colOff>1194660</xdr:colOff>
      <xdr:row>9</xdr:row>
      <xdr:rowOff>354794</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580496</xdr:colOff>
      <xdr:row>31</xdr:row>
      <xdr:rowOff>738132</xdr:rowOff>
    </xdr:from>
    <xdr:to>
      <xdr:col>4</xdr:col>
      <xdr:colOff>852569</xdr:colOff>
      <xdr:row>33</xdr:row>
      <xdr:rowOff>10433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theme/theme1.xml><?xml version="1.0" encoding="utf-8"?>
<a:theme xmlns:a="http://schemas.openxmlformats.org/drawingml/2006/main" name="„Office“ tema">
  <a:themeElements>
    <a:clrScheme name="Pasirinktinis 1">
      <a:dk1>
        <a:sysClr val="windowText" lastClr="000000"/>
      </a:dk1>
      <a:lt1>
        <a:sysClr val="window" lastClr="FFFFFF"/>
      </a:lt1>
      <a:dk2>
        <a:srgbClr val="44546A"/>
      </a:dk2>
      <a:lt2>
        <a:srgbClr val="E7E6E6"/>
      </a:lt2>
      <a:accent1>
        <a:srgbClr val="00244D"/>
      </a:accent1>
      <a:accent2>
        <a:srgbClr val="47ABD9"/>
      </a:accent2>
      <a:accent3>
        <a:srgbClr val="D41A1F"/>
      </a:accent3>
      <a:accent4>
        <a:srgbClr val="D1D1D1"/>
      </a:accent4>
      <a:accent5>
        <a:srgbClr val="666261"/>
      </a:accent5>
      <a:accent6>
        <a:srgbClr val="8D8473"/>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en/TAD/TAIS.347753?jfwid=-wd7z8myik"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c4be7b32bb6b11e4a939cd67303e5a1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rgb="FF00244D"/>
  </sheetPr>
  <dimension ref="C1:G32"/>
  <sheetViews>
    <sheetView showGridLines="0" showRowColHeaders="0" tabSelected="1" workbookViewId="0">
      <selection activeCell="B1" sqref="B1"/>
    </sheetView>
  </sheetViews>
  <sheetFormatPr defaultColWidth="10" defaultRowHeight="13.8" x14ac:dyDescent="0.25"/>
  <cols>
    <col min="1" max="1" width="0.44140625" style="219" customWidth="1"/>
    <col min="2" max="2" width="3.5546875" style="219" customWidth="1"/>
    <col min="3" max="3" width="4.5546875" style="257" customWidth="1"/>
    <col min="4" max="4" width="99.6640625" style="257" customWidth="1"/>
    <col min="5" max="5" width="3.6640625" style="219" customWidth="1"/>
    <col min="6" max="6" width="10" style="219"/>
    <col min="7" max="7" width="10.5546875" style="219" customWidth="1"/>
    <col min="8" max="16384" width="10" style="219"/>
  </cols>
  <sheetData>
    <row r="1" spans="3:7" ht="109.5" customHeight="1" thickBot="1" x14ac:dyDescent="0.3">
      <c r="C1" s="275"/>
      <c r="D1" s="276"/>
      <c r="E1" s="277"/>
    </row>
    <row r="2" spans="3:7" x14ac:dyDescent="0.25">
      <c r="C2" s="237"/>
      <c r="D2" s="238"/>
      <c r="E2" s="239"/>
    </row>
    <row r="3" spans="3:7" ht="35.25" customHeight="1" x14ac:dyDescent="0.25">
      <c r="C3" s="278" t="s">
        <v>0</v>
      </c>
      <c r="D3" s="279"/>
      <c r="E3" s="240"/>
    </row>
    <row r="4" spans="3:7" x14ac:dyDescent="0.25">
      <c r="C4" s="241"/>
      <c r="D4" s="242"/>
      <c r="E4" s="243"/>
    </row>
    <row r="5" spans="3:7" ht="16.2" customHeight="1" x14ac:dyDescent="0.25">
      <c r="C5" s="280" t="s">
        <v>308</v>
      </c>
      <c r="D5" s="281"/>
      <c r="E5" s="244"/>
      <c r="G5" s="245"/>
    </row>
    <row r="6" spans="3:7" x14ac:dyDescent="0.25">
      <c r="C6" s="241"/>
      <c r="D6" s="242"/>
      <c r="E6" s="243"/>
    </row>
    <row r="7" spans="3:7" ht="17.399999999999999" x14ac:dyDescent="0.3">
      <c r="C7" s="282" t="s">
        <v>1</v>
      </c>
      <c r="D7" s="283"/>
      <c r="E7" s="246"/>
    </row>
    <row r="8" spans="3:7" x14ac:dyDescent="0.25">
      <c r="C8" s="241"/>
      <c r="D8" s="242"/>
      <c r="E8" s="243"/>
    </row>
    <row r="9" spans="3:7" ht="171.75" customHeight="1" x14ac:dyDescent="0.25">
      <c r="C9" s="241"/>
      <c r="D9" s="247" t="s">
        <v>283</v>
      </c>
      <c r="E9" s="248"/>
    </row>
    <row r="10" spans="3:7" x14ac:dyDescent="0.25">
      <c r="C10" s="241"/>
      <c r="D10" s="242"/>
      <c r="E10" s="243"/>
    </row>
    <row r="11" spans="3:7" ht="17.399999999999999" x14ac:dyDescent="0.3">
      <c r="C11" s="282" t="s">
        <v>284</v>
      </c>
      <c r="D11" s="283"/>
      <c r="E11" s="246"/>
    </row>
    <row r="12" spans="3:7" x14ac:dyDescent="0.25">
      <c r="C12" s="241"/>
      <c r="D12" s="242"/>
      <c r="E12" s="243"/>
    </row>
    <row r="13" spans="3:7" x14ac:dyDescent="0.25">
      <c r="C13" s="241"/>
      <c r="D13" s="258" t="s">
        <v>2</v>
      </c>
      <c r="E13" s="243"/>
    </row>
    <row r="14" spans="3:7" x14ac:dyDescent="0.25">
      <c r="C14" s="241"/>
      <c r="D14" s="242"/>
      <c r="E14" s="243"/>
    </row>
    <row r="15" spans="3:7" ht="17.399999999999999" x14ac:dyDescent="0.3">
      <c r="C15" s="282" t="s">
        <v>3</v>
      </c>
      <c r="D15" s="283"/>
      <c r="E15" s="246"/>
    </row>
    <row r="16" spans="3:7" x14ac:dyDescent="0.25">
      <c r="C16" s="241"/>
      <c r="D16" s="242"/>
      <c r="E16" s="243"/>
    </row>
    <row r="17" spans="3:5" x14ac:dyDescent="0.25">
      <c r="C17" s="241"/>
      <c r="D17" s="258" t="s">
        <v>4</v>
      </c>
      <c r="E17" s="243"/>
    </row>
    <row r="18" spans="3:5" x14ac:dyDescent="0.25">
      <c r="C18" s="241"/>
      <c r="D18" s="258" t="s">
        <v>5</v>
      </c>
      <c r="E18" s="243"/>
    </row>
    <row r="19" spans="3:5" x14ac:dyDescent="0.25">
      <c r="C19" s="241"/>
      <c r="D19" s="242"/>
      <c r="E19" s="243"/>
    </row>
    <row r="20" spans="3:5" ht="17.399999999999999" x14ac:dyDescent="0.3">
      <c r="C20" s="282" t="s">
        <v>6</v>
      </c>
      <c r="D20" s="283"/>
      <c r="E20" s="246"/>
    </row>
    <row r="21" spans="3:5" x14ac:dyDescent="0.25">
      <c r="C21" s="241"/>
      <c r="D21" s="242"/>
      <c r="E21" s="243"/>
    </row>
    <row r="22" spans="3:5" x14ac:dyDescent="0.25">
      <c r="C22" s="241"/>
      <c r="D22" s="258" t="s">
        <v>7</v>
      </c>
      <c r="E22" s="243"/>
    </row>
    <row r="23" spans="3:5" x14ac:dyDescent="0.25">
      <c r="C23" s="241"/>
      <c r="D23" s="258" t="s">
        <v>8</v>
      </c>
      <c r="E23" s="243"/>
    </row>
    <row r="24" spans="3:5" x14ac:dyDescent="0.25">
      <c r="C24" s="241"/>
      <c r="D24" s="258" t="s">
        <v>9</v>
      </c>
      <c r="E24" s="243"/>
    </row>
    <row r="25" spans="3:5" x14ac:dyDescent="0.25">
      <c r="C25" s="241"/>
      <c r="D25" s="242"/>
      <c r="E25" s="243"/>
    </row>
    <row r="26" spans="3:5" ht="17.399999999999999" x14ac:dyDescent="0.3">
      <c r="C26" s="282" t="s">
        <v>10</v>
      </c>
      <c r="D26" s="283"/>
      <c r="E26" s="249"/>
    </row>
    <row r="27" spans="3:5" x14ac:dyDescent="0.25">
      <c r="C27" s="241"/>
      <c r="D27" s="242"/>
      <c r="E27" s="243"/>
    </row>
    <row r="28" spans="3:5" x14ac:dyDescent="0.25">
      <c r="C28" s="241" t="s">
        <v>11</v>
      </c>
      <c r="D28" s="250" t="s">
        <v>12</v>
      </c>
      <c r="E28" s="243"/>
    </row>
    <row r="29" spans="3:5" ht="14.4" x14ac:dyDescent="0.3">
      <c r="C29" s="251" t="s">
        <v>13</v>
      </c>
      <c r="D29" s="252" t="s">
        <v>14</v>
      </c>
      <c r="E29" s="253"/>
    </row>
    <row r="30" spans="3:5" x14ac:dyDescent="0.25">
      <c r="C30" s="241" t="s">
        <v>15</v>
      </c>
      <c r="D30" s="250" t="s">
        <v>16</v>
      </c>
      <c r="E30" s="243"/>
    </row>
    <row r="31" spans="3:5" ht="14.4" x14ac:dyDescent="0.3">
      <c r="C31" s="251" t="s">
        <v>17</v>
      </c>
      <c r="D31" s="252" t="s">
        <v>18</v>
      </c>
      <c r="E31" s="253"/>
    </row>
    <row r="32" spans="3:5" ht="9.6" customHeight="1" thickBot="1" x14ac:dyDescent="0.3">
      <c r="C32" s="254"/>
      <c r="D32" s="255"/>
      <c r="E32" s="256"/>
    </row>
  </sheetData>
  <mergeCells count="8">
    <mergeCell ref="C1:E1"/>
    <mergeCell ref="C3:D3"/>
    <mergeCell ref="C5:D5"/>
    <mergeCell ref="C7:D7"/>
    <mergeCell ref="C26:D26"/>
    <mergeCell ref="C11:D11"/>
    <mergeCell ref="C15:D15"/>
    <mergeCell ref="C20:D20"/>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28" r:id="rId1" display="http://www3.lrs.lt/pls/inter3/dokpaieska.showdoc_l?p_id=487268&amp;p_tr2=2" xr:uid="{DDC9A2C8-E1C0-4CF4-BC74-7FF78E256ED8}"/>
    <hyperlink ref="D30" r:id="rId2" display="Lietuvos Respublikos fiskalinės drausmės įstatymas" xr:uid="{F4FFA9C7-1444-4704-90F5-2ECFABD928E1}"/>
    <hyperlink ref="D31" r:id="rId3" xr:uid="{3C5B1BA1-E78A-448A-B1EF-3C53FDDD686B}"/>
    <hyperlink ref="D29" r:id="rId4" xr:uid="{AB0085CB-F5E8-4B40-995B-4E4EFCC9A3FD}"/>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rgb="FF47ABD9"/>
  </sheetPr>
  <dimension ref="A1:E36"/>
  <sheetViews>
    <sheetView showGridLines="0" showRowColHeaders="0" zoomScaleNormal="100" workbookViewId="0"/>
  </sheetViews>
  <sheetFormatPr defaultColWidth="10" defaultRowHeight="13.8" x14ac:dyDescent="0.25"/>
  <cols>
    <col min="1" max="1" width="4.33203125" style="1" customWidth="1"/>
    <col min="2" max="2" width="59.109375" style="5" customWidth="1"/>
    <col min="3" max="4" width="19.44140625" style="5" customWidth="1"/>
    <col min="5" max="5" width="9.44140625" style="1" customWidth="1"/>
    <col min="6" max="6" width="51.6640625" style="1" customWidth="1"/>
    <col min="7" max="16384" width="10" style="1"/>
  </cols>
  <sheetData>
    <row r="1" spans="1:4" x14ac:dyDescent="0.25">
      <c r="B1" s="220" t="s">
        <v>19</v>
      </c>
      <c r="C1" s="3"/>
      <c r="D1" s="3"/>
    </row>
    <row r="2" spans="1:4" ht="14.4" thickBot="1" x14ac:dyDescent="0.3">
      <c r="A2" s="4" t="s">
        <v>20</v>
      </c>
    </row>
    <row r="3" spans="1:4" ht="35.25" customHeight="1" thickTop="1" thickBot="1" x14ac:dyDescent="0.3">
      <c r="B3" s="289" t="s">
        <v>307</v>
      </c>
      <c r="C3" s="290"/>
      <c r="D3" s="291"/>
    </row>
    <row r="4" spans="1:4" ht="17.25" customHeight="1" thickBot="1" x14ac:dyDescent="0.3">
      <c r="B4" s="81" t="s">
        <v>21</v>
      </c>
      <c r="C4" s="295"/>
      <c r="D4" s="296"/>
    </row>
    <row r="5" spans="1:4" ht="33" customHeight="1" thickBot="1" x14ac:dyDescent="0.35">
      <c r="B5" s="6" t="s">
        <v>22</v>
      </c>
      <c r="C5" s="82" t="s">
        <v>23</v>
      </c>
      <c r="D5" s="7" t="s">
        <v>24</v>
      </c>
    </row>
    <row r="6" spans="1:4" ht="17.25" customHeight="1" x14ac:dyDescent="0.25">
      <c r="B6" s="273" t="s">
        <v>28</v>
      </c>
      <c r="C6" s="299" t="str">
        <f>'4. SurplusGG'!E6</f>
        <v>Taip</v>
      </c>
      <c r="D6" s="300"/>
    </row>
    <row r="7" spans="1:4" ht="17.25" customHeight="1" thickBot="1" x14ac:dyDescent="0.3">
      <c r="B7" s="274" t="s">
        <v>29</v>
      </c>
      <c r="C7" s="301" t="str">
        <f>'4. SurplusGG'!E7</f>
        <v>Yes</v>
      </c>
      <c r="D7" s="302"/>
    </row>
    <row r="8" spans="1:4" ht="17.399999999999999" customHeight="1" thickBot="1" x14ac:dyDescent="0.3">
      <c r="B8" s="292" t="s">
        <v>25</v>
      </c>
      <c r="C8" s="293"/>
      <c r="D8" s="294"/>
    </row>
    <row r="9" spans="1:4" ht="17.399999999999999" customHeight="1" thickBot="1" x14ac:dyDescent="0.3">
      <c r="B9" s="287" t="s">
        <v>26</v>
      </c>
      <c r="C9" s="154" t="str">
        <f>'4. SurplusGG'!E20</f>
        <v>Netaikoma</v>
      </c>
      <c r="D9" s="234" t="str">
        <f>'4. SurplusGG'!F20</f>
        <v>Netaikoma</v>
      </c>
    </row>
    <row r="10" spans="1:4" ht="53.4" customHeight="1" x14ac:dyDescent="0.25">
      <c r="B10" s="288"/>
      <c r="C10" s="155" t="str">
        <f>'4. SurplusGG'!E21</f>
        <v>Paskelbtos išskirtinės aplinkybės</v>
      </c>
      <c r="D10" s="172" t="str">
        <f>'4. SurplusGG'!F21</f>
        <v>Paskelbtos išskirtinės aplinkybės</v>
      </c>
    </row>
    <row r="11" spans="1:4" ht="15.75" customHeight="1" thickBot="1" x14ac:dyDescent="0.3">
      <c r="B11" s="297" t="s">
        <v>27</v>
      </c>
      <c r="C11" s="170" t="str">
        <f>'4. SurplusGG'!E22</f>
        <v>Not applicable</v>
      </c>
      <c r="D11" s="235" t="str">
        <f>'4. SurplusGG'!F22</f>
        <v>Not applicable</v>
      </c>
    </row>
    <row r="12" spans="1:4" ht="33" customHeight="1" thickBot="1" x14ac:dyDescent="0.3">
      <c r="B12" s="298"/>
      <c r="C12" s="171" t="str">
        <f>'4. SurplusGG'!E23</f>
        <v>Exceptional circumstances</v>
      </c>
      <c r="D12" s="236" t="str">
        <f>'4. SurplusGG'!F23</f>
        <v>Exceptional circumstances</v>
      </c>
    </row>
    <row r="13" spans="1:4" ht="21" customHeight="1" thickBot="1" x14ac:dyDescent="0.3">
      <c r="B13" s="284" t="s">
        <v>30</v>
      </c>
      <c r="C13" s="285"/>
      <c r="D13" s="286"/>
    </row>
    <row r="14" spans="1:4" ht="18" customHeight="1" x14ac:dyDescent="0.25">
      <c r="B14" s="307" t="s">
        <v>31</v>
      </c>
      <c r="C14" s="8" t="str">
        <f>'5. GGexpenditure'!F23</f>
        <v>Taip</v>
      </c>
      <c r="D14" s="83" t="str">
        <f>'5. GGexpenditure'!G23</f>
        <v>Ne</v>
      </c>
    </row>
    <row r="15" spans="1:4" ht="48.75" customHeight="1" x14ac:dyDescent="0.25">
      <c r="B15" s="308"/>
      <c r="C15" s="167" t="str">
        <f>'5. GGexpenditure'!F24</f>
        <v>Susidaro A2 A5 aplinkybės</v>
      </c>
      <c r="D15" s="156" t="str">
        <f>'5. GGexpenditure'!G24</f>
        <v>Išimčių nėra</v>
      </c>
    </row>
    <row r="16" spans="1:4" ht="18" customHeight="1" x14ac:dyDescent="0.25">
      <c r="B16" s="309" t="s">
        <v>32</v>
      </c>
      <c r="C16" s="168" t="str">
        <f>'5. GGexpenditure'!F25</f>
        <v>Yes</v>
      </c>
      <c r="D16" s="169" t="str">
        <f>'5. GGexpenditure'!G25</f>
        <v>No</v>
      </c>
    </row>
    <row r="17" spans="2:4" ht="52.5" customHeight="1" thickBot="1" x14ac:dyDescent="0.3">
      <c r="B17" s="309"/>
      <c r="C17" s="86" t="str">
        <f>'5. GGexpenditure'!F26</f>
        <v>Escape clauses A2 A5 emerge</v>
      </c>
      <c r="D17" s="189" t="str">
        <f>'5. GGexpenditure'!G26</f>
        <v>No escape clauses emerge</v>
      </c>
    </row>
    <row r="18" spans="2:4" ht="22.5" customHeight="1" x14ac:dyDescent="0.25">
      <c r="B18" s="307" t="s">
        <v>33</v>
      </c>
      <c r="C18" s="150" t="str">
        <f>'5. GGexpenditure'!F31</f>
        <v>Netaikoma</v>
      </c>
      <c r="D18" s="191" t="str">
        <f>'5. GGexpenditure'!G31</f>
        <v>Netaikoma</v>
      </c>
    </row>
    <row r="19" spans="2:4" ht="69" customHeight="1" x14ac:dyDescent="0.25">
      <c r="B19" s="308"/>
      <c r="C19" s="151" t="str">
        <f>'5. GGexpenditure'!F32</f>
        <v>Paskelbtos išskirtinės aplinkybės</v>
      </c>
      <c r="D19" s="190" t="str">
        <f>'5. GGexpenditure'!G32</f>
        <v>Paskelbtos išskirtinės aplinkybės</v>
      </c>
    </row>
    <row r="20" spans="2:4" ht="14.4" x14ac:dyDescent="0.25">
      <c r="B20" s="309" t="s">
        <v>34</v>
      </c>
      <c r="C20" s="168" t="str">
        <f>'5. GGexpenditure'!F33</f>
        <v>Not applied</v>
      </c>
      <c r="D20" s="169" t="str">
        <f>'5. GGexpenditure'!G33</f>
        <v>Not applied</v>
      </c>
    </row>
    <row r="21" spans="2:4" ht="64.5" customHeight="1" thickBot="1" x14ac:dyDescent="0.3">
      <c r="B21" s="310"/>
      <c r="C21" s="86" t="str">
        <f>'5. GGexpenditure'!F34</f>
        <v>Exceptional Circumstances</v>
      </c>
      <c r="D21" s="189" t="str">
        <f>'5. GGexpenditure'!G34</f>
        <v>Exceptional Circumstances</v>
      </c>
    </row>
    <row r="22" spans="2:4" ht="19.5" customHeight="1" x14ac:dyDescent="0.25">
      <c r="B22" s="203" t="s">
        <v>35</v>
      </c>
      <c r="C22" s="167" t="str">
        <f>'5. GGexpenditure'!F31</f>
        <v>Netaikoma</v>
      </c>
      <c r="D22" s="172" t="str">
        <f>'5. GGexpenditure'!G31</f>
        <v>Netaikoma</v>
      </c>
    </row>
    <row r="23" spans="2:4" ht="15" thickBot="1" x14ac:dyDescent="0.3">
      <c r="B23" s="204" t="s">
        <v>36</v>
      </c>
      <c r="C23" s="86" t="str">
        <f>'5. GGexpenditure'!F33</f>
        <v>Not applied</v>
      </c>
      <c r="D23" s="164" t="str">
        <f>'5. GGexpenditure'!G33</f>
        <v>Not applied</v>
      </c>
    </row>
    <row r="24" spans="2:4" ht="15.75" customHeight="1" thickBot="1" x14ac:dyDescent="0.3">
      <c r="B24" s="284" t="s">
        <v>37</v>
      </c>
      <c r="C24" s="285" t="s">
        <v>38</v>
      </c>
      <c r="D24" s="286"/>
    </row>
    <row r="25" spans="2:4" ht="82.8" x14ac:dyDescent="0.25">
      <c r="B25" s="203" t="s">
        <v>39</v>
      </c>
      <c r="C25" s="80" t="str">
        <f>'6. GGbudgets'!E6:E6</f>
        <v>Savivaldybių biudžetų atitiktis fiskalinės drausmės taisyklėms bus vertinama 2022 m. birželio mėn.</v>
      </c>
      <c r="D25" s="161" t="str">
        <f>'6. GGbudgets'!F6:F6</f>
        <v>Savivaldybių biudžetų atitiktis fiskalinės drausmės taisyklėms bus vertinama 2022 m. birželio mėn.</v>
      </c>
    </row>
    <row r="26" spans="2:4" ht="29.4" thickBot="1" x14ac:dyDescent="0.3">
      <c r="B26" s="204" t="s">
        <v>40</v>
      </c>
      <c r="C26" s="85" t="str">
        <f>'6. GGbudgets'!E7:E7</f>
        <v>Will be assessed in June 2022</v>
      </c>
      <c r="D26" s="162" t="str">
        <f>'6. GGbudgets'!F7:F7</f>
        <v>Will be assessed in June 2022</v>
      </c>
    </row>
    <row r="27" spans="2:4" x14ac:dyDescent="0.25">
      <c r="B27" s="203" t="s">
        <v>41</v>
      </c>
      <c r="C27" s="150" t="str">
        <f>'6. GGbudgets'!E12</f>
        <v>Tenkinama</v>
      </c>
      <c r="D27" s="163" t="str">
        <f>'6. GGbudgets'!F12</f>
        <v>Tenkinama</v>
      </c>
    </row>
    <row r="28" spans="2:4" ht="15" thickBot="1" x14ac:dyDescent="0.3">
      <c r="B28" s="204" t="s">
        <v>42</v>
      </c>
      <c r="C28" s="86" t="str">
        <f>'6. GGbudgets'!E13</f>
        <v>Valid</v>
      </c>
      <c r="D28" s="164" t="str">
        <f>'6. GGbudgets'!F13</f>
        <v>Valid</v>
      </c>
    </row>
    <row r="29" spans="2:4" x14ac:dyDescent="0.25">
      <c r="B29" s="197" t="s">
        <v>43</v>
      </c>
      <c r="C29" s="151" t="str">
        <f>'6. GGbudgets'!E20</f>
        <v>Tenkinama</v>
      </c>
      <c r="D29" s="165" t="str">
        <f>'6. GGbudgets'!F20</f>
        <v>Tenkinama</v>
      </c>
    </row>
    <row r="30" spans="2:4" ht="15" thickBot="1" x14ac:dyDescent="0.3">
      <c r="B30" s="198" t="s">
        <v>44</v>
      </c>
      <c r="C30" s="218" t="str">
        <f>'6. GGbudgets'!E21</f>
        <v>Valid</v>
      </c>
      <c r="D30" s="166" t="str">
        <f>'6. GGbudgets'!F21</f>
        <v>Valid</v>
      </c>
    </row>
    <row r="31" spans="2:4" ht="121.5" customHeight="1" x14ac:dyDescent="0.25">
      <c r="B31" s="200" t="s">
        <v>45</v>
      </c>
      <c r="C31" s="150" t="str">
        <f>'6. GGbudgets'!E22</f>
        <v>Savivaldybių biudžetų atitiktis fiskalinės drausmės taisyklėms bus vertinama 2022 m. birželio mėn.</v>
      </c>
      <c r="D31" s="163" t="str">
        <f>'6. GGbudgets'!F22</f>
        <v>Savivaldybių biudžetų atitiktis fiskalinės drausmės taisyklėms bus vertinama 2022 m. birželio mėn.</v>
      </c>
    </row>
    <row r="32" spans="2:4" ht="48.75" customHeight="1" thickBot="1" x14ac:dyDescent="0.3">
      <c r="B32" s="199" t="s">
        <v>46</v>
      </c>
      <c r="C32" s="201" t="str">
        <f>'6. GGbudgets'!E23</f>
        <v>Will be assessed in June 2022</v>
      </c>
      <c r="D32" s="202" t="str">
        <f>'6. GGbudgets'!F23</f>
        <v>Will be assessed in June 2022</v>
      </c>
    </row>
    <row r="33" spans="2:5" ht="14.4" thickTop="1" x14ac:dyDescent="0.25">
      <c r="B33" s="79"/>
      <c r="C33" s="79"/>
      <c r="D33" s="79"/>
    </row>
    <row r="34" spans="2:5" ht="15" thickBot="1" x14ac:dyDescent="0.35">
      <c r="B34" s="10" t="s">
        <v>47</v>
      </c>
      <c r="C34" s="10"/>
      <c r="D34" s="10"/>
      <c r="E34" s="130" t="s">
        <v>48</v>
      </c>
    </row>
    <row r="35" spans="2:5" ht="15" thickBot="1" x14ac:dyDescent="0.35">
      <c r="B35" s="11" t="s">
        <v>49</v>
      </c>
      <c r="C35" s="303" t="s">
        <v>23</v>
      </c>
      <c r="D35" s="304"/>
      <c r="E35" s="130" t="s">
        <v>50</v>
      </c>
    </row>
    <row r="36" spans="2:5" ht="15" thickBot="1" x14ac:dyDescent="0.35">
      <c r="B36" s="11" t="s">
        <v>51</v>
      </c>
      <c r="C36" s="305" t="s">
        <v>24</v>
      </c>
      <c r="D36" s="306"/>
      <c r="E36" s="231" t="s">
        <v>52</v>
      </c>
    </row>
  </sheetData>
  <mergeCells count="15">
    <mergeCell ref="B24:D24"/>
    <mergeCell ref="C35:D35"/>
    <mergeCell ref="C36:D36"/>
    <mergeCell ref="B14:B15"/>
    <mergeCell ref="B16:B17"/>
    <mergeCell ref="B20:B21"/>
    <mergeCell ref="B18:B19"/>
    <mergeCell ref="B13:D13"/>
    <mergeCell ref="B9:B10"/>
    <mergeCell ref="B3:D3"/>
    <mergeCell ref="B8:D8"/>
    <mergeCell ref="C4:D4"/>
    <mergeCell ref="B11:B12"/>
    <mergeCell ref="C6:D6"/>
    <mergeCell ref="C7:D7"/>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5"/>
  </sheetPr>
  <dimension ref="A1:R61"/>
  <sheetViews>
    <sheetView showGridLines="0" showRowColHeaders="0" zoomScaleNormal="100" workbookViewId="0">
      <pane ySplit="5" topLeftCell="A33" activePane="bottomLeft" state="frozen"/>
      <selection pane="bottomLeft"/>
    </sheetView>
  </sheetViews>
  <sheetFormatPr defaultColWidth="10" defaultRowHeight="13.8" x14ac:dyDescent="0.25"/>
  <cols>
    <col min="1" max="1" width="4.5546875" style="1" customWidth="1"/>
    <col min="2" max="2" width="51.33203125" style="1" customWidth="1"/>
    <col min="3" max="3" width="40.88671875" style="1" customWidth="1"/>
    <col min="4" max="4" width="21.109375" style="1" customWidth="1"/>
    <col min="5" max="7" width="11.44140625" style="1" customWidth="1"/>
    <col min="8" max="8" width="11.6640625" style="1" customWidth="1"/>
    <col min="9" max="11" width="11.44140625" style="1" customWidth="1"/>
    <col min="12" max="12" width="11.6640625" style="219" customWidth="1"/>
    <col min="13" max="15" width="11.44140625" style="219" customWidth="1"/>
    <col min="16" max="16384" width="10" style="1"/>
  </cols>
  <sheetData>
    <row r="1" spans="1:18" x14ac:dyDescent="0.25">
      <c r="B1" s="220" t="s">
        <v>19</v>
      </c>
      <c r="C1" s="3"/>
      <c r="D1" s="3"/>
    </row>
    <row r="2" spans="1:18" ht="14.4" thickBot="1" x14ac:dyDescent="0.3">
      <c r="A2" s="12" t="s">
        <v>20</v>
      </c>
      <c r="B2" s="13"/>
      <c r="C2" s="13"/>
      <c r="L2" s="226"/>
      <c r="M2" s="226"/>
      <c r="N2" s="226"/>
      <c r="O2" s="226"/>
    </row>
    <row r="3" spans="1:18" ht="40.200000000000003" customHeight="1" thickBot="1" x14ac:dyDescent="0.3">
      <c r="B3" s="327" t="s">
        <v>53</v>
      </c>
      <c r="C3" s="328"/>
      <c r="D3" s="328"/>
      <c r="E3" s="328"/>
      <c r="F3" s="328"/>
      <c r="G3" s="328"/>
      <c r="H3" s="328"/>
      <c r="I3" s="328"/>
      <c r="J3" s="328"/>
      <c r="K3" s="328"/>
      <c r="L3" s="328"/>
      <c r="M3" s="328"/>
      <c r="N3" s="328"/>
      <c r="O3" s="329"/>
    </row>
    <row r="4" spans="1:18" ht="22.95" customHeight="1" thickBot="1" x14ac:dyDescent="0.3">
      <c r="B4" s="317" t="s">
        <v>54</v>
      </c>
      <c r="C4" s="317" t="s">
        <v>55</v>
      </c>
      <c r="D4" s="324" t="s">
        <v>56</v>
      </c>
      <c r="E4" s="314"/>
      <c r="F4" s="314"/>
      <c r="G4" s="314"/>
      <c r="H4" s="314"/>
      <c r="I4" s="314"/>
      <c r="J4" s="314"/>
      <c r="K4" s="315"/>
      <c r="L4" s="313" t="s">
        <v>57</v>
      </c>
      <c r="M4" s="314"/>
      <c r="N4" s="314"/>
      <c r="O4" s="315"/>
    </row>
    <row r="5" spans="1:18" ht="20.25" customHeight="1" thickBot="1" x14ac:dyDescent="0.3">
      <c r="B5" s="317"/>
      <c r="C5" s="317"/>
      <c r="D5" s="324"/>
      <c r="E5" s="14">
        <f>2014</f>
        <v>2014</v>
      </c>
      <c r="F5" s="14">
        <f>2015</f>
        <v>2015</v>
      </c>
      <c r="G5" s="14">
        <f>2016</f>
        <v>2016</v>
      </c>
      <c r="H5" s="14">
        <f>2017</f>
        <v>2017</v>
      </c>
      <c r="I5" s="14">
        <f>2018</f>
        <v>2018</v>
      </c>
      <c r="J5" s="14">
        <f>2019</f>
        <v>2019</v>
      </c>
      <c r="K5" s="14">
        <f>2020</f>
        <v>2020</v>
      </c>
      <c r="L5" s="14" t="str">
        <f>CONCATENATE(K5+1,"P")</f>
        <v>2021P</v>
      </c>
      <c r="M5" s="14" t="str">
        <f>CONCATENATE(K5+2,"P")</f>
        <v>2022P</v>
      </c>
      <c r="N5" s="14" t="str">
        <f>CONCATENATE(K5+3,"P")</f>
        <v>2023P</v>
      </c>
      <c r="O5" s="14" t="str">
        <f>CONCATENATE(K5+4,"P")</f>
        <v>2024P</v>
      </c>
    </row>
    <row r="6" spans="1:18" ht="14.4" thickBot="1" x14ac:dyDescent="0.3">
      <c r="B6" s="103" t="s">
        <v>58</v>
      </c>
      <c r="C6" s="103" t="s">
        <v>59</v>
      </c>
      <c r="D6" s="158"/>
      <c r="E6" s="15" t="s">
        <v>287</v>
      </c>
      <c r="F6" s="15" t="s">
        <v>288</v>
      </c>
      <c r="G6" s="15" t="s">
        <v>289</v>
      </c>
      <c r="H6" s="15" t="s">
        <v>290</v>
      </c>
      <c r="I6" s="15" t="s">
        <v>291</v>
      </c>
      <c r="J6" s="15" t="s">
        <v>292</v>
      </c>
      <c r="K6" s="15" t="s">
        <v>60</v>
      </c>
      <c r="L6" s="15" t="s">
        <v>61</v>
      </c>
      <c r="M6" s="15" t="s">
        <v>62</v>
      </c>
      <c r="N6" s="15" t="s">
        <v>63</v>
      </c>
      <c r="O6" s="15" t="s">
        <v>64</v>
      </c>
    </row>
    <row r="7" spans="1:18" ht="14.4" thickBot="1" x14ac:dyDescent="0.3">
      <c r="B7" s="318" t="s">
        <v>65</v>
      </c>
      <c r="C7" s="325" t="s">
        <v>66</v>
      </c>
      <c r="D7" s="16">
        <v>44480</v>
      </c>
      <c r="E7" s="17">
        <v>36581.300000000003</v>
      </c>
      <c r="F7" s="17">
        <v>37345.699999999997</v>
      </c>
      <c r="G7" s="17">
        <v>38889.9</v>
      </c>
      <c r="H7" s="17">
        <v>42276.3</v>
      </c>
      <c r="I7" s="17">
        <v>45514.8</v>
      </c>
      <c r="J7" s="17">
        <v>48859.9</v>
      </c>
      <c r="K7" s="17">
        <v>49507.199999999997</v>
      </c>
      <c r="L7" s="22">
        <f>K7*(1+L9/100)</f>
        <v>54312.358069536269</v>
      </c>
      <c r="M7" s="22">
        <f t="shared" ref="M7:N7" si="0">L7*(1+M9/100)</f>
        <v>57881.305281831956</v>
      </c>
      <c r="N7" s="22">
        <f t="shared" si="0"/>
        <v>61088.822744345242</v>
      </c>
      <c r="O7" s="22">
        <f>N7*(1+O9/100)</f>
        <v>64494.630356349604</v>
      </c>
    </row>
    <row r="8" spans="1:18" ht="14.4" thickBot="1" x14ac:dyDescent="0.3">
      <c r="B8" s="319"/>
      <c r="C8" s="325"/>
      <c r="D8" s="16">
        <v>44440</v>
      </c>
      <c r="E8" s="17">
        <v>36581.300000000003</v>
      </c>
      <c r="F8" s="17">
        <v>37345.699999999997</v>
      </c>
      <c r="G8" s="17">
        <v>38889.9</v>
      </c>
      <c r="H8" s="17">
        <v>42276.3</v>
      </c>
      <c r="I8" s="17">
        <v>45491.1</v>
      </c>
      <c r="J8" s="17">
        <v>48808.6</v>
      </c>
      <c r="K8" s="17">
        <v>48929.7</v>
      </c>
      <c r="L8" s="22">
        <f>K8*(1+L10/100)</f>
        <v>53678.806045080084</v>
      </c>
      <c r="M8" s="22">
        <f t="shared" ref="M8:O8" si="1">L8*(1+M10/100)</f>
        <v>57206.12159541346</v>
      </c>
      <c r="N8" s="22">
        <f t="shared" si="1"/>
        <v>60376.223463132425</v>
      </c>
      <c r="O8" s="22">
        <f t="shared" si="1"/>
        <v>63742.302431708507</v>
      </c>
    </row>
    <row r="9" spans="1:18" ht="14.4" thickBot="1" x14ac:dyDescent="0.3">
      <c r="B9" s="318" t="s">
        <v>67</v>
      </c>
      <c r="C9" s="316" t="s">
        <v>68</v>
      </c>
      <c r="D9" s="16">
        <f>$D$7</f>
        <v>44480</v>
      </c>
      <c r="E9" s="18"/>
      <c r="F9" s="18">
        <f t="shared" ref="F9:J9" si="2">(F7/E7-1)*100</f>
        <v>2.0895922233490793</v>
      </c>
      <c r="G9" s="18">
        <f t="shared" si="2"/>
        <v>4.1348803208937079</v>
      </c>
      <c r="H9" s="18">
        <f t="shared" si="2"/>
        <v>8.7076593151435233</v>
      </c>
      <c r="I9" s="18">
        <f t="shared" si="2"/>
        <v>7.6603203213147841</v>
      </c>
      <c r="J9" s="18">
        <f t="shared" si="2"/>
        <v>7.3494775325828154</v>
      </c>
      <c r="K9" s="18">
        <f>(K7/J7-1)*100</f>
        <v>1.324808278363232</v>
      </c>
      <c r="L9" s="22">
        <v>9.7059782608110936</v>
      </c>
      <c r="M9" s="22">
        <v>6.5711512796523266</v>
      </c>
      <c r="N9" s="22">
        <v>5.5415430714553509</v>
      </c>
      <c r="O9" s="22">
        <v>5.5751730987803683</v>
      </c>
    </row>
    <row r="10" spans="1:18" ht="14.4" thickBot="1" x14ac:dyDescent="0.3">
      <c r="B10" s="319"/>
      <c r="C10" s="316"/>
      <c r="D10" s="16">
        <f>$D$8</f>
        <v>44440</v>
      </c>
      <c r="E10" s="18"/>
      <c r="F10" s="18">
        <f t="shared" ref="F10:K10" si="3">(F8/E8-1)*100</f>
        <v>2.0895922233490793</v>
      </c>
      <c r="G10" s="18">
        <f t="shared" si="3"/>
        <v>4.1348803208937079</v>
      </c>
      <c r="H10" s="18">
        <f t="shared" si="3"/>
        <v>8.7076593151435233</v>
      </c>
      <c r="I10" s="18">
        <f t="shared" si="3"/>
        <v>7.6042605431411836</v>
      </c>
      <c r="J10" s="18">
        <f t="shared" si="3"/>
        <v>7.292635262721725</v>
      </c>
      <c r="K10" s="18">
        <f t="shared" si="3"/>
        <v>0.24811201304688613</v>
      </c>
      <c r="L10" s="22">
        <v>9.7059782608110936</v>
      </c>
      <c r="M10" s="22">
        <v>6.5711512796523266</v>
      </c>
      <c r="N10" s="22">
        <v>5.5415430714553509</v>
      </c>
      <c r="O10" s="22">
        <v>5.5751730987803683</v>
      </c>
    </row>
    <row r="11" spans="1:18" ht="14.4" thickBot="1" x14ac:dyDescent="0.3">
      <c r="B11" s="318" t="s">
        <v>69</v>
      </c>
      <c r="C11" s="316" t="s">
        <v>70</v>
      </c>
      <c r="D11" s="16">
        <f>$D$7</f>
        <v>44480</v>
      </c>
      <c r="E11" s="17">
        <v>36604.6</v>
      </c>
      <c r="F11" s="17">
        <v>37345.699999999997</v>
      </c>
      <c r="G11" s="17">
        <v>38286.400000000001</v>
      </c>
      <c r="H11" s="17">
        <v>39926</v>
      </c>
      <c r="I11" s="17">
        <v>41520.400000000001</v>
      </c>
      <c r="J11" s="17">
        <v>43419.4</v>
      </c>
      <c r="K11" s="17">
        <v>43361.9</v>
      </c>
      <c r="L11" s="22">
        <f t="shared" ref="L11:N12" si="4">K11*(1+L13/100)</f>
        <v>45229.57886630328</v>
      </c>
      <c r="M11" s="22">
        <f t="shared" si="4"/>
        <v>47025.508800490323</v>
      </c>
      <c r="N11" s="22">
        <f t="shared" si="4"/>
        <v>48667.931276744479</v>
      </c>
      <c r="O11" s="22">
        <f t="shared" ref="O11" si="5">N11*(1+O13/100)</f>
        <v>50379.407250690463</v>
      </c>
    </row>
    <row r="12" spans="1:18" ht="14.4" thickBot="1" x14ac:dyDescent="0.3">
      <c r="B12" s="319"/>
      <c r="C12" s="316"/>
      <c r="D12" s="16">
        <v>44440</v>
      </c>
      <c r="E12" s="17">
        <v>36604.6</v>
      </c>
      <c r="F12" s="17">
        <v>37345.699999999997</v>
      </c>
      <c r="G12" s="17">
        <v>38286.400000000001</v>
      </c>
      <c r="H12" s="17">
        <v>39926</v>
      </c>
      <c r="I12" s="17">
        <v>41497.800000000003</v>
      </c>
      <c r="J12" s="17">
        <v>43298.400000000001</v>
      </c>
      <c r="K12" s="17">
        <v>42920.9</v>
      </c>
      <c r="L12" s="22">
        <f t="shared" si="4"/>
        <v>44769.584164040702</v>
      </c>
      <c r="M12" s="22">
        <f t="shared" si="4"/>
        <v>46547.249098285938</v>
      </c>
      <c r="N12" s="22">
        <f t="shared" si="4"/>
        <v>48172.967778995437</v>
      </c>
      <c r="O12" s="22">
        <f t="shared" ref="O12" si="6">N12*(1+O14/100)</f>
        <v>49867.037668233184</v>
      </c>
    </row>
    <row r="13" spans="1:18" ht="14.4" thickBot="1" x14ac:dyDescent="0.3">
      <c r="B13" s="318" t="s">
        <v>71</v>
      </c>
      <c r="C13" s="316" t="s">
        <v>72</v>
      </c>
      <c r="D13" s="16">
        <f>$D$7</f>
        <v>44480</v>
      </c>
      <c r="E13" s="18"/>
      <c r="F13" s="18">
        <f t="shared" ref="F13:J13" si="7">(F11/E11-1)*100</f>
        <v>2.0246089289324143</v>
      </c>
      <c r="G13" s="18">
        <f t="shared" si="7"/>
        <v>2.5188977579748251</v>
      </c>
      <c r="H13" s="18">
        <f t="shared" si="7"/>
        <v>4.2824606126457443</v>
      </c>
      <c r="I13" s="18">
        <f t="shared" si="7"/>
        <v>3.9933877673696383</v>
      </c>
      <c r="J13" s="18">
        <f t="shared" si="7"/>
        <v>4.5736553597749641</v>
      </c>
      <c r="K13" s="18">
        <f>(K11/J11-1)*100</f>
        <v>-0.13242928276300248</v>
      </c>
      <c r="L13" s="22">
        <v>4.3071887216733602</v>
      </c>
      <c r="M13" s="22">
        <v>3.9706978910763979</v>
      </c>
      <c r="N13" s="22">
        <v>3.4926203206482569</v>
      </c>
      <c r="O13" s="22">
        <v>3.5166400729340239</v>
      </c>
    </row>
    <row r="14" spans="1:18" ht="14.4" thickBot="1" x14ac:dyDescent="0.3">
      <c r="B14" s="319"/>
      <c r="C14" s="316"/>
      <c r="D14" s="16">
        <f>$D$12</f>
        <v>44440</v>
      </c>
      <c r="E14" s="18"/>
      <c r="F14" s="18">
        <f t="shared" ref="F14:H14" si="8">(F12/E12-1)*100</f>
        <v>2.0246089289324143</v>
      </c>
      <c r="G14" s="18">
        <f t="shared" si="8"/>
        <v>2.5188977579748251</v>
      </c>
      <c r="H14" s="18">
        <f t="shared" si="8"/>
        <v>4.2824606126457443</v>
      </c>
      <c r="I14" s="20">
        <f>(I12/H12-1)*100</f>
        <v>3.9367830486399802</v>
      </c>
      <c r="J14" s="20">
        <f>(J12-I12)/I12*100</f>
        <v>4.3390252013359705</v>
      </c>
      <c r="K14" s="20">
        <f>(K12-J12)/J12*100</f>
        <v>-0.87185669678325295</v>
      </c>
      <c r="L14" s="22">
        <v>4.3071887216733602</v>
      </c>
      <c r="M14" s="22">
        <v>3.9706978910763979</v>
      </c>
      <c r="N14" s="22">
        <v>3.4926203206482569</v>
      </c>
      <c r="O14" s="22">
        <v>3.5166400729340239</v>
      </c>
    </row>
    <row r="15" spans="1:18" ht="14.4" thickBot="1" x14ac:dyDescent="0.3">
      <c r="B15" s="318" t="s">
        <v>73</v>
      </c>
      <c r="C15" s="316" t="s">
        <v>74</v>
      </c>
      <c r="D15" s="16">
        <v>44480</v>
      </c>
      <c r="E15" s="21">
        <v>36606.362102121217</v>
      </c>
      <c r="F15" s="21">
        <v>37432.505219257044</v>
      </c>
      <c r="G15" s="21">
        <v>38328.858218588291</v>
      </c>
      <c r="H15" s="21">
        <v>39333.585558791296</v>
      </c>
      <c r="I15" s="21">
        <v>40506.637316490451</v>
      </c>
      <c r="J15" s="21">
        <v>41797.236560167832</v>
      </c>
      <c r="K15" s="21">
        <v>43171.948579706717</v>
      </c>
      <c r="L15" s="21">
        <v>44653.585811939796</v>
      </c>
      <c r="M15" s="21">
        <v>46242.503323877514</v>
      </c>
      <c r="N15" s="21">
        <v>47926.059071010372</v>
      </c>
      <c r="O15" s="21">
        <v>49686.850968787512</v>
      </c>
    </row>
    <row r="16" spans="1:18" ht="14.4" thickBot="1" x14ac:dyDescent="0.3">
      <c r="B16" s="319"/>
      <c r="C16" s="316"/>
      <c r="D16" s="16">
        <v>44480</v>
      </c>
      <c r="E16" s="22">
        <v>36452.0839285084</v>
      </c>
      <c r="F16" s="22">
        <v>37220.02928735278</v>
      </c>
      <c r="G16" s="22">
        <v>37924.610942878331</v>
      </c>
      <c r="H16" s="22">
        <v>38812.889053404295</v>
      </c>
      <c r="I16" s="22">
        <v>40020.138784280825</v>
      </c>
      <c r="J16" s="22">
        <v>41659.70510574917</v>
      </c>
      <c r="K16" s="22">
        <v>43255.898552755483</v>
      </c>
      <c r="L16" s="22">
        <v>45067.39119783471</v>
      </c>
      <c r="M16" s="22">
        <v>46742.216151540226</v>
      </c>
      <c r="N16" s="22">
        <v>48389.247728150134</v>
      </c>
      <c r="O16" s="22">
        <v>49988.021880333152</v>
      </c>
      <c r="P16" s="228"/>
      <c r="Q16" s="228"/>
      <c r="R16" s="228"/>
    </row>
    <row r="17" spans="2:16" ht="14.4" thickBot="1" x14ac:dyDescent="0.3">
      <c r="B17" s="318" t="s">
        <v>75</v>
      </c>
      <c r="C17" s="316" t="s">
        <v>76</v>
      </c>
      <c r="D17" s="16">
        <f>D15</f>
        <v>44480</v>
      </c>
      <c r="E17" s="21"/>
      <c r="F17" s="21">
        <f t="shared" ref="F17:I18" si="9">(F15/E15-1)*100</f>
        <v>2.2568293315547772</v>
      </c>
      <c r="G17" s="21">
        <f>(G15/F15-1)*100</f>
        <v>2.3945845838555302</v>
      </c>
      <c r="H17" s="21">
        <f t="shared" si="9"/>
        <v>2.6213338640902695</v>
      </c>
      <c r="I17" s="21">
        <f t="shared" si="9"/>
        <v>2.9823158530661198</v>
      </c>
      <c r="J17" s="21">
        <f>(J15/I15-1)*100</f>
        <v>3.1861426402629789</v>
      </c>
      <c r="K17" s="21">
        <f>(K15/J15-1)*100</f>
        <v>3.2890021749642839</v>
      </c>
      <c r="L17" s="21">
        <f t="shared" ref="L17:O17" si="10">(L15/K15-1)*100</f>
        <v>3.4319443086929136</v>
      </c>
      <c r="M17" s="21">
        <f>(M15/L15-1)*100</f>
        <v>3.5583200834743645</v>
      </c>
      <c r="N17" s="21">
        <f t="shared" si="10"/>
        <v>3.6407106582042381</v>
      </c>
      <c r="O17" s="21">
        <f t="shared" si="10"/>
        <v>3.6739759786387438</v>
      </c>
    </row>
    <row r="18" spans="2:16" ht="14.4" thickBot="1" x14ac:dyDescent="0.3">
      <c r="B18" s="319"/>
      <c r="C18" s="316"/>
      <c r="D18" s="16">
        <f>$D$16</f>
        <v>44480</v>
      </c>
      <c r="E18" s="22"/>
      <c r="F18" s="22">
        <f t="shared" si="9"/>
        <v>2.1067255313866662</v>
      </c>
      <c r="G18" s="22">
        <f>(G16/F16-1)*100</f>
        <v>1.8930174667137312</v>
      </c>
      <c r="H18" s="22">
        <f t="shared" si="9"/>
        <v>2.3422207596641709</v>
      </c>
      <c r="I18" s="22">
        <f t="shared" si="9"/>
        <v>3.1104351165805344</v>
      </c>
      <c r="J18" s="22">
        <f>(J16/I16-1)*100</f>
        <v>4.0968531626190519</v>
      </c>
      <c r="K18" s="22">
        <f>(K16/J16-1)*100</f>
        <v>3.8315044308511848</v>
      </c>
      <c r="L18" s="22">
        <f t="shared" ref="L18:O18" si="11">(L16/K16-1)*100</f>
        <v>4.1878511502192239</v>
      </c>
      <c r="M18" s="22">
        <f>(M16/L16-1)*100</f>
        <v>3.7162678140242322</v>
      </c>
      <c r="N18" s="22">
        <f t="shared" si="11"/>
        <v>3.5236488814953892</v>
      </c>
      <c r="O18" s="22">
        <f t="shared" si="11"/>
        <v>3.3039863755785159</v>
      </c>
    </row>
    <row r="19" spans="2:16" ht="14.4" thickBot="1" x14ac:dyDescent="0.3">
      <c r="B19" s="318" t="s">
        <v>77</v>
      </c>
      <c r="C19" s="316" t="s">
        <v>78</v>
      </c>
      <c r="D19" s="16">
        <f>D15</f>
        <v>44480</v>
      </c>
      <c r="E19" s="21">
        <f t="shared" ref="E19:K19" si="12">(E12/E15-1)*100</f>
        <v>-4.8136499232076524E-3</v>
      </c>
      <c r="F19" s="21">
        <f t="shared" si="12"/>
        <v>-0.23189796875361379</v>
      </c>
      <c r="G19" s="21">
        <f t="shared" si="12"/>
        <v>-0.11077350216421866</v>
      </c>
      <c r="H19" s="21">
        <f t="shared" si="12"/>
        <v>1.5061287517844857</v>
      </c>
      <c r="I19" s="21">
        <f t="shared" si="12"/>
        <v>2.4469142569532476</v>
      </c>
      <c r="J19" s="21">
        <f t="shared" si="12"/>
        <v>3.5915375354330425</v>
      </c>
      <c r="K19" s="21">
        <f t="shared" si="12"/>
        <v>-0.58150856740509793</v>
      </c>
      <c r="L19" s="21">
        <f>(L12/L15-1)*100</f>
        <v>0.25977387927911266</v>
      </c>
      <c r="M19" s="21">
        <f>(M12/M15-1)*100</f>
        <v>0.65901660269993556</v>
      </c>
      <c r="N19" s="21">
        <f t="shared" ref="N19:O19" si="13">(N12/N15-1)*100</f>
        <v>0.51518675386854618</v>
      </c>
      <c r="O19" s="21">
        <f t="shared" si="13"/>
        <v>0.36264463521518131</v>
      </c>
      <c r="P19" s="265"/>
    </row>
    <row r="20" spans="2:16" ht="14.4" thickBot="1" x14ac:dyDescent="0.3">
      <c r="B20" s="319"/>
      <c r="C20" s="316"/>
      <c r="D20" s="16">
        <f>$D$16</f>
        <v>44480</v>
      </c>
      <c r="E20" s="22">
        <f t="shared" ref="E20:I20" si="14">(E$12/E16-1)*100</f>
        <v>0.41840151523495628</v>
      </c>
      <c r="F20" s="22">
        <f t="shared" si="14"/>
        <v>0.33764270220475456</v>
      </c>
      <c r="G20" s="22">
        <f t="shared" si="14"/>
        <v>0.95396906685896177</v>
      </c>
      <c r="H20" s="22">
        <f t="shared" si="14"/>
        <v>2.8678899554839266</v>
      </c>
      <c r="I20" s="22">
        <f t="shared" si="14"/>
        <v>3.6922940814477556</v>
      </c>
      <c r="J20" s="22">
        <f>(J$12/J16-1)*100</f>
        <v>3.9335249495673574</v>
      </c>
      <c r="K20" s="22">
        <f>(K$12/K16-1)*100</f>
        <v>-0.7744575051351954</v>
      </c>
      <c r="L20" s="22">
        <f>(L$12/L16-1)*100</f>
        <v>-0.66080380043901377</v>
      </c>
      <c r="M20" s="22">
        <f>(M$12/M16-1)*100</f>
        <v>-0.41711127393317948</v>
      </c>
      <c r="N20" s="22">
        <f t="shared" ref="N20" si="15">(N$12/N16-1)*100</f>
        <v>-0.44695869290994894</v>
      </c>
      <c r="O20" s="22">
        <f>(O$12/O16-1)*100</f>
        <v>-0.2420264046246734</v>
      </c>
    </row>
    <row r="21" spans="2:16" ht="17.399999999999999" customHeight="1" thickBot="1" x14ac:dyDescent="0.3">
      <c r="B21" s="330" t="s">
        <v>79</v>
      </c>
      <c r="C21" s="316" t="s">
        <v>80</v>
      </c>
      <c r="D21" s="16">
        <f>$D$15</f>
        <v>44480</v>
      </c>
      <c r="E21" s="21">
        <f t="shared" ref="E21:O21" si="16">E19*E37</f>
        <v>0</v>
      </c>
      <c r="F21" s="21">
        <f t="shared" si="16"/>
        <v>0</v>
      </c>
      <c r="G21" s="21">
        <f t="shared" si="16"/>
        <v>0</v>
      </c>
      <c r="H21" s="21">
        <f t="shared" si="16"/>
        <v>0</v>
      </c>
      <c r="I21" s="21">
        <f t="shared" si="16"/>
        <v>0.97631878852434584</v>
      </c>
      <c r="J21" s="21">
        <f t="shared" si="16"/>
        <v>1.4330234766377841</v>
      </c>
      <c r="K21" s="21">
        <f t="shared" si="16"/>
        <v>-0.2320219183946341</v>
      </c>
      <c r="L21" s="21">
        <f>L19*L37</f>
        <v>0.10364977783236595</v>
      </c>
      <c r="M21" s="21">
        <f t="shared" si="16"/>
        <v>0.26294762447727432</v>
      </c>
      <c r="N21" s="21">
        <f t="shared" si="16"/>
        <v>0.20555951479354995</v>
      </c>
      <c r="O21" s="21">
        <f t="shared" si="16"/>
        <v>0.14469520945085734</v>
      </c>
    </row>
    <row r="22" spans="2:16" ht="14.4" thickBot="1" x14ac:dyDescent="0.3">
      <c r="B22" s="332"/>
      <c r="C22" s="316"/>
      <c r="D22" s="16">
        <f>$D$16</f>
        <v>44480</v>
      </c>
      <c r="E22" s="22">
        <f t="shared" ref="E22:O22" si="17">E20*E37</f>
        <v>0</v>
      </c>
      <c r="F22" s="22">
        <f t="shared" si="17"/>
        <v>0</v>
      </c>
      <c r="G22" s="22">
        <f>G20*G37</f>
        <v>0</v>
      </c>
      <c r="H22" s="22">
        <f t="shared" si="17"/>
        <v>0</v>
      </c>
      <c r="I22" s="22">
        <f t="shared" si="17"/>
        <v>1.4732253384976546</v>
      </c>
      <c r="J22" s="22">
        <f t="shared" si="17"/>
        <v>1.5694764548773756</v>
      </c>
      <c r="K22" s="22">
        <f t="shared" si="17"/>
        <v>-0.309008544548943</v>
      </c>
      <c r="L22" s="22">
        <f>L20*L37</f>
        <v>-0.26366071637516653</v>
      </c>
      <c r="M22" s="22">
        <f t="shared" si="17"/>
        <v>-0.16642739829933861</v>
      </c>
      <c r="N22" s="22">
        <f t="shared" si="17"/>
        <v>-0.17833651847106963</v>
      </c>
      <c r="O22" s="22">
        <f t="shared" si="17"/>
        <v>-9.6568535445244685E-2</v>
      </c>
    </row>
    <row r="23" spans="2:16" ht="17.399999999999999" customHeight="1" thickBot="1" x14ac:dyDescent="0.3">
      <c r="B23" s="330" t="s">
        <v>81</v>
      </c>
      <c r="C23" s="316" t="s">
        <v>82</v>
      </c>
      <c r="D23" s="16">
        <f>$D$15</f>
        <v>44480</v>
      </c>
      <c r="E23" s="19"/>
      <c r="F23" s="19"/>
      <c r="G23" s="19"/>
      <c r="H23" s="19"/>
      <c r="I23" s="21">
        <f t="shared" ref="I23:O23" si="18">I19*I38</f>
        <v>0.25570253985161434</v>
      </c>
      <c r="J23" s="21">
        <f t="shared" si="18"/>
        <v>0.36274529107873732</v>
      </c>
      <c r="K23" s="21">
        <f t="shared" si="18"/>
        <v>-5.1172753931648614E-2</v>
      </c>
      <c r="L23" s="21">
        <f>L19*L38</f>
        <v>2.2860101376561914E-2</v>
      </c>
      <c r="M23" s="21">
        <f>M19*M38</f>
        <v>5.7993461037594327E-2</v>
      </c>
      <c r="N23" s="21">
        <f t="shared" si="18"/>
        <v>0</v>
      </c>
      <c r="O23" s="21">
        <f t="shared" si="18"/>
        <v>0</v>
      </c>
    </row>
    <row r="24" spans="2:16" ht="14.4" thickBot="1" x14ac:dyDescent="0.3">
      <c r="B24" s="330"/>
      <c r="C24" s="316"/>
      <c r="D24" s="16">
        <f>$D$16</f>
        <v>44480</v>
      </c>
      <c r="E24" s="19"/>
      <c r="F24" s="19"/>
      <c r="G24" s="19"/>
      <c r="H24" s="19"/>
      <c r="I24" s="22">
        <f t="shared" ref="I24:O24" si="19">I20*I38</f>
        <v>0.38584473151129045</v>
      </c>
      <c r="J24" s="22">
        <f t="shared" si="19"/>
        <v>0.39728601990630313</v>
      </c>
      <c r="K24" s="22">
        <f t="shared" si="19"/>
        <v>-6.8152260451897193E-2</v>
      </c>
      <c r="L24" s="22">
        <f t="shared" si="19"/>
        <v>-5.8150734438633209E-2</v>
      </c>
      <c r="M24" s="22">
        <f t="shared" si="19"/>
        <v>-3.6705792106119794E-2</v>
      </c>
      <c r="N24" s="22">
        <f t="shared" si="19"/>
        <v>0</v>
      </c>
      <c r="O24" s="22">
        <f t="shared" si="19"/>
        <v>0</v>
      </c>
    </row>
    <row r="25" spans="2:16" s="23" customFormat="1" ht="15.75" customHeight="1" thickBot="1" x14ac:dyDescent="0.3">
      <c r="B25" s="320" t="s">
        <v>83</v>
      </c>
      <c r="C25" s="322" t="s">
        <v>84</v>
      </c>
      <c r="D25" s="16">
        <f>$D$15</f>
        <v>44480</v>
      </c>
      <c r="E25" s="19"/>
      <c r="F25" s="19"/>
      <c r="G25" s="19"/>
      <c r="H25" s="19"/>
      <c r="I25" s="21">
        <f t="shared" ref="I25:O25" si="20">I19*I39</f>
        <v>0.11011114156289614</v>
      </c>
      <c r="J25" s="21">
        <f t="shared" si="20"/>
        <v>0.16161918909448691</v>
      </c>
      <c r="K25" s="21">
        <f t="shared" si="20"/>
        <v>-2.4423359831014114E-2</v>
      </c>
      <c r="L25" s="21">
        <f t="shared" si="20"/>
        <v>1.0910502929722732E-2</v>
      </c>
      <c r="M25" s="21">
        <f>M19*M39</f>
        <v>2.7678697313397296E-2</v>
      </c>
      <c r="N25" s="21">
        <f t="shared" si="20"/>
        <v>0</v>
      </c>
      <c r="O25" s="21">
        <f t="shared" si="20"/>
        <v>0</v>
      </c>
      <c r="P25" s="1"/>
    </row>
    <row r="26" spans="2:16" s="23" customFormat="1" ht="14.4" thickBot="1" x14ac:dyDescent="0.3">
      <c r="B26" s="331"/>
      <c r="C26" s="323"/>
      <c r="D26" s="16">
        <f>$D$16</f>
        <v>44480</v>
      </c>
      <c r="E26" s="19"/>
      <c r="F26" s="19"/>
      <c r="G26" s="19"/>
      <c r="H26" s="19"/>
      <c r="I26" s="22">
        <f t="shared" ref="I26:O26" si="21">I20*I39</f>
        <v>0.166153233665149</v>
      </c>
      <c r="J26" s="22">
        <f t="shared" si="21"/>
        <v>0.17700862273053108</v>
      </c>
      <c r="K26" s="22">
        <f t="shared" si="21"/>
        <v>-3.252721521567821E-2</v>
      </c>
      <c r="L26" s="22">
        <f t="shared" si="21"/>
        <v>-2.7753759618438581E-2</v>
      </c>
      <c r="M26" s="22">
        <f t="shared" si="21"/>
        <v>-1.7518673505193538E-2</v>
      </c>
      <c r="N26" s="22">
        <f t="shared" si="21"/>
        <v>0</v>
      </c>
      <c r="O26" s="22">
        <f t="shared" si="21"/>
        <v>0</v>
      </c>
      <c r="P26" s="1"/>
    </row>
    <row r="27" spans="2:16" ht="14.4" thickBot="1" x14ac:dyDescent="0.3">
      <c r="B27" s="318" t="s">
        <v>85</v>
      </c>
      <c r="C27" s="316" t="s">
        <v>86</v>
      </c>
      <c r="D27" s="16">
        <f>$D$7</f>
        <v>44480</v>
      </c>
      <c r="E27" s="19">
        <f t="shared" ref="E27:J28" si="22">E7/E11*100</f>
        <v>99.936346797943443</v>
      </c>
      <c r="F27" s="19">
        <f t="shared" si="22"/>
        <v>100</v>
      </c>
      <c r="G27" s="19">
        <f t="shared" si="22"/>
        <v>101.57627773830917</v>
      </c>
      <c r="H27" s="19">
        <f t="shared" si="22"/>
        <v>105.88664028452639</v>
      </c>
      <c r="I27" s="19">
        <f t="shared" si="22"/>
        <v>109.62033121068198</v>
      </c>
      <c r="J27" s="19">
        <f t="shared" si="22"/>
        <v>112.53011326734132</v>
      </c>
      <c r="K27" s="19">
        <f>K7/K11*100</f>
        <v>114.17211884165593</v>
      </c>
      <c r="L27" s="19">
        <f t="shared" ref="L27:O27" si="23">L7/L11*100</f>
        <v>120.08150292551099</v>
      </c>
      <c r="M27" s="19">
        <f>M7/M11*100</f>
        <v>123.08491020777311</v>
      </c>
      <c r="N27" s="19">
        <f t="shared" si="23"/>
        <v>125.52171654260549</v>
      </c>
      <c r="O27" s="19">
        <f t="shared" si="23"/>
        <v>128.01784275750026</v>
      </c>
    </row>
    <row r="28" spans="2:16" ht="14.4" thickBot="1" x14ac:dyDescent="0.3">
      <c r="B28" s="319"/>
      <c r="C28" s="316"/>
      <c r="D28" s="16">
        <f>$D$8</f>
        <v>44440</v>
      </c>
      <c r="E28" s="19">
        <f>E8/E12*100</f>
        <v>99.936346797943443</v>
      </c>
      <c r="F28" s="19">
        <f t="shared" si="22"/>
        <v>100</v>
      </c>
      <c r="G28" s="19">
        <f t="shared" si="22"/>
        <v>101.57627773830917</v>
      </c>
      <c r="H28" s="19">
        <f t="shared" si="22"/>
        <v>105.88664028452639</v>
      </c>
      <c r="I28" s="19">
        <f t="shared" si="22"/>
        <v>109.62291976924077</v>
      </c>
      <c r="J28" s="19">
        <f t="shared" si="22"/>
        <v>112.72610535262272</v>
      </c>
      <c r="K28" s="19">
        <f>K8/K12*100</f>
        <v>113.99970643672428</v>
      </c>
      <c r="L28" s="19">
        <f t="shared" ref="L28:O28" si="24">L8/L12*100</f>
        <v>119.90016670334708</v>
      </c>
      <c r="M28" s="19">
        <f t="shared" si="24"/>
        <v>122.89903851164435</v>
      </c>
      <c r="N28" s="19">
        <f t="shared" si="24"/>
        <v>125.33216500200326</v>
      </c>
      <c r="O28" s="19">
        <f t="shared" si="24"/>
        <v>127.82452179290829</v>
      </c>
    </row>
    <row r="29" spans="2:16" ht="14.4" thickBot="1" x14ac:dyDescent="0.3">
      <c r="B29" s="318" t="s">
        <v>87</v>
      </c>
      <c r="C29" s="316" t="s">
        <v>88</v>
      </c>
      <c r="D29" s="16">
        <f>$D$7</f>
        <v>44480</v>
      </c>
      <c r="E29" s="19"/>
      <c r="F29" s="19">
        <f t="shared" ref="F29:J30" si="25">(F27/E27-1)*100</f>
        <v>6.3693745164861149E-2</v>
      </c>
      <c r="G29" s="19">
        <f t="shared" si="25"/>
        <v>1.5762777383091731</v>
      </c>
      <c r="H29" s="19">
        <f t="shared" si="25"/>
        <v>4.2434736162728859</v>
      </c>
      <c r="I29" s="19">
        <f t="shared" si="25"/>
        <v>3.5261208742886296</v>
      </c>
      <c r="J29" s="19">
        <f t="shared" si="25"/>
        <v>2.6544182311098563</v>
      </c>
      <c r="K29" s="19">
        <f>(K27/J27-1)*100</f>
        <v>1.459169929398052</v>
      </c>
      <c r="L29" s="19">
        <f t="shared" ref="L29:O29" si="26">(L27/K27-1)*100</f>
        <v>5.1758556675739031</v>
      </c>
      <c r="M29" s="19">
        <f>(M27/L27-1)*100</f>
        <v>2.5011406495513144</v>
      </c>
      <c r="N29" s="19">
        <f t="shared" si="26"/>
        <v>1.9797766685769602</v>
      </c>
      <c r="O29" s="19">
        <f t="shared" si="26"/>
        <v>1.9886010832615764</v>
      </c>
    </row>
    <row r="30" spans="2:16" ht="14.4" thickBot="1" x14ac:dyDescent="0.3">
      <c r="B30" s="319"/>
      <c r="C30" s="316"/>
      <c r="D30" s="16">
        <f>$D$8</f>
        <v>44440</v>
      </c>
      <c r="E30" s="19"/>
      <c r="F30" s="19">
        <f t="shared" ref="F30:H30" si="27">(F28/E28-1)*100</f>
        <v>6.3693745164861149E-2</v>
      </c>
      <c r="G30" s="19">
        <f t="shared" si="27"/>
        <v>1.5762777383091731</v>
      </c>
      <c r="H30" s="19">
        <f t="shared" si="27"/>
        <v>4.2434736162728859</v>
      </c>
      <c r="I30" s="19">
        <f t="shared" si="25"/>
        <v>3.5285655250508308</v>
      </c>
      <c r="J30" s="19">
        <f>(J28/I28-1)*100</f>
        <v>2.830781728779197</v>
      </c>
      <c r="K30" s="19">
        <f>(K28/J28-1)*100</f>
        <v>1.1298191134321067</v>
      </c>
      <c r="L30" s="19">
        <f t="shared" ref="L30:O30" si="28">(L28/K28-1)*100</f>
        <v>5.1758556675739031</v>
      </c>
      <c r="M30" s="19">
        <f t="shared" si="28"/>
        <v>2.5011406495513588</v>
      </c>
      <c r="N30" s="19">
        <f t="shared" si="28"/>
        <v>1.979776668576938</v>
      </c>
      <c r="O30" s="19">
        <f t="shared" si="28"/>
        <v>1.9886010832615764</v>
      </c>
    </row>
    <row r="31" spans="2:16" ht="28.8" thickBot="1" x14ac:dyDescent="0.3">
      <c r="B31" s="206" t="s">
        <v>89</v>
      </c>
      <c r="C31" s="207" t="s">
        <v>90</v>
      </c>
      <c r="D31" s="16">
        <v>44480</v>
      </c>
      <c r="E31" s="17">
        <v>11781.293800000001</v>
      </c>
      <c r="F31" s="17">
        <v>12211.338800000001</v>
      </c>
      <c r="G31" s="17">
        <v>12550.043900000001</v>
      </c>
      <c r="H31" s="17">
        <v>13073.814400000001</v>
      </c>
      <c r="I31" s="17">
        <v>13531.5236</v>
      </c>
      <c r="J31" s="17">
        <v>14007.8493</v>
      </c>
      <c r="K31" s="17">
        <v>13381.3406</v>
      </c>
      <c r="L31" s="227"/>
      <c r="M31" s="227"/>
      <c r="N31" s="227"/>
      <c r="O31" s="227"/>
    </row>
    <row r="32" spans="2:16" ht="29.25" customHeight="1" thickBot="1" x14ac:dyDescent="0.3">
      <c r="B32" s="206" t="s">
        <v>91</v>
      </c>
      <c r="C32" s="207" t="s">
        <v>92</v>
      </c>
      <c r="D32" s="16">
        <f>$D$31</f>
        <v>44480</v>
      </c>
      <c r="E32" s="18"/>
      <c r="F32" s="18">
        <f t="shared" ref="F32:H32" si="29">(F31/E31-1)*100</f>
        <v>3.6502357661261309</v>
      </c>
      <c r="G32" s="18">
        <f t="shared" si="29"/>
        <v>2.7736934135346392</v>
      </c>
      <c r="H32" s="18">
        <f t="shared" si="29"/>
        <v>4.1734555207412427</v>
      </c>
      <c r="I32" s="18">
        <f>(I31/H31-1)*100</f>
        <v>3.5009614332600636</v>
      </c>
      <c r="J32" s="18">
        <f>(J31/I31-1)*100</f>
        <v>3.5201187544025014</v>
      </c>
      <c r="K32" s="18">
        <f>(K31/J31-1)*100</f>
        <v>-4.4725545412599548</v>
      </c>
      <c r="L32" s="227"/>
      <c r="M32" s="227"/>
      <c r="N32" s="227"/>
      <c r="O32" s="227"/>
    </row>
    <row r="33" spans="2:15" s="25" customFormat="1" ht="14.4" thickBot="1" x14ac:dyDescent="0.3">
      <c r="B33" s="320" t="s">
        <v>93</v>
      </c>
      <c r="C33" s="322" t="s">
        <v>94</v>
      </c>
      <c r="D33" s="16">
        <v>44489</v>
      </c>
      <c r="E33" s="17">
        <v>-220</v>
      </c>
      <c r="F33" s="17">
        <v>-111.8</v>
      </c>
      <c r="G33" s="17">
        <v>97.8</v>
      </c>
      <c r="H33" s="17">
        <v>176.4</v>
      </c>
      <c r="I33" s="17">
        <v>244.5</v>
      </c>
      <c r="J33" s="17">
        <v>231.4</v>
      </c>
      <c r="K33" s="17">
        <v>-3569.2</v>
      </c>
      <c r="L33" s="227"/>
      <c r="M33" s="227"/>
      <c r="N33" s="227"/>
      <c r="O33" s="227"/>
    </row>
    <row r="34" spans="2:15" s="25" customFormat="1" ht="14.4" thickBot="1" x14ac:dyDescent="0.3">
      <c r="B34" s="321"/>
      <c r="C34" s="323"/>
      <c r="D34" s="16">
        <v>44489</v>
      </c>
      <c r="E34" s="17">
        <v>-220</v>
      </c>
      <c r="F34" s="17">
        <v>-111.8</v>
      </c>
      <c r="G34" s="17">
        <v>97.8</v>
      </c>
      <c r="H34" s="17">
        <v>176.4</v>
      </c>
      <c r="I34" s="17">
        <v>244.5</v>
      </c>
      <c r="J34" s="17">
        <v>231.4</v>
      </c>
      <c r="K34" s="17">
        <v>-3569.2</v>
      </c>
      <c r="L34" s="227"/>
      <c r="M34" s="227"/>
      <c r="N34" s="227"/>
      <c r="O34" s="227"/>
    </row>
    <row r="35" spans="2:15" ht="14.4" thickBot="1" x14ac:dyDescent="0.3">
      <c r="B35" s="318" t="s">
        <v>95</v>
      </c>
      <c r="C35" s="316" t="s">
        <v>96</v>
      </c>
      <c r="D35" s="16">
        <f>+D33</f>
        <v>44489</v>
      </c>
      <c r="E35" s="19">
        <f t="shared" ref="E35:J36" si="30">E33/E7*100</f>
        <v>-0.60140016893877468</v>
      </c>
      <c r="F35" s="19">
        <f t="shared" si="30"/>
        <v>-0.29936512101794854</v>
      </c>
      <c r="G35" s="19">
        <f t="shared" si="30"/>
        <v>0.25147917582714274</v>
      </c>
      <c r="H35" s="19">
        <f t="shared" si="30"/>
        <v>0.41725505779834093</v>
      </c>
      <c r="I35" s="19">
        <f t="shared" si="30"/>
        <v>0.5371879037148356</v>
      </c>
      <c r="J35" s="19">
        <f t="shared" si="30"/>
        <v>0.4735990045006232</v>
      </c>
      <c r="K35" s="19">
        <f>K33/K7*100</f>
        <v>-7.2094564023010799</v>
      </c>
      <c r="L35" s="227"/>
      <c r="M35" s="227"/>
      <c r="N35" s="227"/>
      <c r="O35" s="227"/>
    </row>
    <row r="36" spans="2:15" ht="14.4" thickBot="1" x14ac:dyDescent="0.3">
      <c r="B36" s="319"/>
      <c r="C36" s="316"/>
      <c r="D36" s="16">
        <f>D34</f>
        <v>44489</v>
      </c>
      <c r="E36" s="19">
        <f t="shared" si="30"/>
        <v>-0.60140016893877468</v>
      </c>
      <c r="F36" s="19">
        <f t="shared" si="30"/>
        <v>-0.29936512101794854</v>
      </c>
      <c r="G36" s="19">
        <f t="shared" si="30"/>
        <v>0.25147917582714274</v>
      </c>
      <c r="H36" s="19">
        <f t="shared" si="30"/>
        <v>0.41725505779834093</v>
      </c>
      <c r="I36" s="19">
        <f t="shared" si="30"/>
        <v>0.53746776842063615</v>
      </c>
      <c r="J36" s="19">
        <f t="shared" si="30"/>
        <v>0.47409677802682315</v>
      </c>
      <c r="K36" s="19">
        <f>K34/K8*100</f>
        <v>-7.2945470746806134</v>
      </c>
      <c r="L36" s="227"/>
      <c r="M36" s="227"/>
      <c r="N36" s="227"/>
      <c r="O36" s="227"/>
    </row>
    <row r="37" spans="2:15" ht="36.75" customHeight="1" thickBot="1" x14ac:dyDescent="0.3">
      <c r="B37" s="206" t="s">
        <v>97</v>
      </c>
      <c r="C37" s="211" t="s">
        <v>98</v>
      </c>
      <c r="D37" s="16">
        <v>44489</v>
      </c>
      <c r="E37" s="28"/>
      <c r="F37" s="28"/>
      <c r="G37" s="28"/>
      <c r="H37" s="28"/>
      <c r="I37" s="27">
        <v>0.39900000000000002</v>
      </c>
      <c r="J37" s="27">
        <v>0.39900000000000002</v>
      </c>
      <c r="K37" s="27">
        <v>0.39900000000000002</v>
      </c>
      <c r="L37" s="27">
        <v>0.39900000000000002</v>
      </c>
      <c r="M37" s="27">
        <v>0.39900000000000002</v>
      </c>
      <c r="N37" s="27">
        <v>0.39900000000000002</v>
      </c>
      <c r="O37" s="27">
        <v>0.39900000000000002</v>
      </c>
    </row>
    <row r="38" spans="2:15" ht="36.75" customHeight="1" thickBot="1" x14ac:dyDescent="0.3">
      <c r="B38" s="206" t="s">
        <v>99</v>
      </c>
      <c r="C38" s="211" t="s">
        <v>100</v>
      </c>
      <c r="D38" s="16">
        <f>D26</f>
        <v>44480</v>
      </c>
      <c r="E38" s="28"/>
      <c r="F38" s="28"/>
      <c r="G38" s="28"/>
      <c r="H38" s="28"/>
      <c r="I38" s="22">
        <v>0.1045</v>
      </c>
      <c r="J38" s="22">
        <v>0.10100000000000001</v>
      </c>
      <c r="K38" s="22">
        <v>8.7999999999999995E-2</v>
      </c>
      <c r="L38" s="22">
        <v>8.7999999999999995E-2</v>
      </c>
      <c r="M38" s="22">
        <v>8.7999999999999995E-2</v>
      </c>
      <c r="N38" s="227"/>
      <c r="O38" s="227"/>
    </row>
    <row r="39" spans="2:15" ht="36.75" customHeight="1" thickBot="1" x14ac:dyDescent="0.3">
      <c r="B39" s="208" t="s">
        <v>101</v>
      </c>
      <c r="C39" s="207" t="s">
        <v>102</v>
      </c>
      <c r="D39" s="16">
        <f>D26</f>
        <v>44480</v>
      </c>
      <c r="E39" s="28"/>
      <c r="F39" s="28"/>
      <c r="G39" s="28"/>
      <c r="H39" s="28"/>
      <c r="I39" s="22">
        <v>4.4999999999999998E-2</v>
      </c>
      <c r="J39" s="22">
        <v>4.4999999999999998E-2</v>
      </c>
      <c r="K39" s="22">
        <v>4.2000000000000003E-2</v>
      </c>
      <c r="L39" s="22">
        <v>4.2000000000000003E-2</v>
      </c>
      <c r="M39" s="22">
        <v>4.2000000000000003E-2</v>
      </c>
      <c r="N39" s="227"/>
      <c r="O39" s="227"/>
    </row>
    <row r="40" spans="2:15" x14ac:dyDescent="0.25">
      <c r="B40" s="29"/>
      <c r="C40" s="29"/>
      <c r="D40" s="29"/>
    </row>
    <row r="41" spans="2:15" ht="15" thickBot="1" x14ac:dyDescent="0.35">
      <c r="C41" s="10" t="s">
        <v>47</v>
      </c>
      <c r="E41" s="311"/>
      <c r="F41" s="311"/>
      <c r="G41" s="311"/>
      <c r="H41" s="311"/>
      <c r="I41" s="311"/>
      <c r="L41" s="229"/>
    </row>
    <row r="42" spans="2:15" ht="15" thickBot="1" x14ac:dyDescent="0.35">
      <c r="C42" s="10" t="s">
        <v>103</v>
      </c>
      <c r="D42" s="30"/>
      <c r="E42" s="311"/>
      <c r="F42" s="311"/>
      <c r="G42" s="311"/>
      <c r="H42" s="311"/>
      <c r="I42" s="311"/>
      <c r="J42" s="24"/>
      <c r="K42" s="24"/>
    </row>
    <row r="43" spans="2:15" ht="15" thickBot="1" x14ac:dyDescent="0.35">
      <c r="B43" s="10" t="s">
        <v>286</v>
      </c>
      <c r="C43" s="10" t="s">
        <v>104</v>
      </c>
      <c r="D43" s="31"/>
      <c r="E43" s="311"/>
      <c r="F43" s="311"/>
      <c r="G43" s="311"/>
      <c r="H43" s="311"/>
      <c r="I43" s="311"/>
      <c r="J43" s="24"/>
      <c r="K43" s="24"/>
    </row>
    <row r="44" spans="2:15" ht="15" customHeight="1" thickBot="1" x14ac:dyDescent="0.35">
      <c r="B44" s="10"/>
      <c r="C44" s="10" t="s">
        <v>105</v>
      </c>
      <c r="D44" s="32"/>
      <c r="E44" s="312"/>
      <c r="F44" s="312"/>
      <c r="G44" s="312"/>
      <c r="H44" s="312"/>
      <c r="I44" s="312"/>
      <c r="J44" s="312"/>
      <c r="K44" s="312"/>
    </row>
    <row r="45" spans="2:15" ht="15" thickBot="1" x14ac:dyDescent="0.35">
      <c r="C45" s="10" t="s">
        <v>107</v>
      </c>
      <c r="E45" s="311"/>
      <c r="F45" s="311"/>
      <c r="G45" s="311"/>
      <c r="H45" s="311"/>
      <c r="I45" s="311"/>
    </row>
    <row r="46" spans="2:15" ht="14.4" thickBot="1" x14ac:dyDescent="0.3">
      <c r="C46" s="33" t="s">
        <v>108</v>
      </c>
      <c r="D46" s="34"/>
      <c r="E46" s="326"/>
      <c r="F46" s="326"/>
      <c r="G46" s="326"/>
      <c r="H46" s="326"/>
      <c r="I46" s="326"/>
    </row>
    <row r="47" spans="2:15" x14ac:dyDescent="0.25">
      <c r="C47" s="35" t="s">
        <v>110</v>
      </c>
      <c r="D47" s="36">
        <v>4.9999999999999899E-2</v>
      </c>
    </row>
    <row r="50" spans="9:15" x14ac:dyDescent="0.25">
      <c r="I50" s="37"/>
      <c r="J50" s="37"/>
    </row>
    <row r="51" spans="9:15" x14ac:dyDescent="0.25">
      <c r="I51" s="37"/>
      <c r="J51" s="37"/>
    </row>
    <row r="52" spans="9:15" x14ac:dyDescent="0.25">
      <c r="I52" s="37"/>
      <c r="J52" s="37"/>
      <c r="O52" s="230"/>
    </row>
    <row r="53" spans="9:15" x14ac:dyDescent="0.25">
      <c r="I53" s="37"/>
      <c r="J53" s="37"/>
      <c r="O53" s="230"/>
    </row>
    <row r="54" spans="9:15" x14ac:dyDescent="0.25">
      <c r="I54" s="37"/>
      <c r="J54" s="37"/>
      <c r="O54" s="230"/>
    </row>
    <row r="55" spans="9:15" x14ac:dyDescent="0.25">
      <c r="I55" s="37"/>
      <c r="J55" s="37"/>
      <c r="O55" s="230"/>
    </row>
    <row r="56" spans="9:15" x14ac:dyDescent="0.25">
      <c r="I56" s="37"/>
      <c r="J56" s="37"/>
      <c r="O56" s="230"/>
    </row>
    <row r="57" spans="9:15" x14ac:dyDescent="0.25">
      <c r="I57" s="37"/>
      <c r="J57" s="37"/>
      <c r="O57" s="230"/>
    </row>
    <row r="58" spans="9:15" x14ac:dyDescent="0.25">
      <c r="I58" s="37"/>
      <c r="J58" s="37"/>
      <c r="O58" s="230"/>
    </row>
    <row r="59" spans="9:15" x14ac:dyDescent="0.25">
      <c r="I59" s="37"/>
      <c r="J59" s="37"/>
      <c r="O59" s="230"/>
    </row>
    <row r="60" spans="9:15" x14ac:dyDescent="0.25">
      <c r="I60" s="37"/>
      <c r="J60" s="37"/>
      <c r="O60" s="230"/>
    </row>
    <row r="61" spans="9:15" x14ac:dyDescent="0.25">
      <c r="I61" s="37"/>
      <c r="J61" s="37"/>
      <c r="L61" s="230"/>
    </row>
  </sheetData>
  <mergeCells count="40">
    <mergeCell ref="E45:I45"/>
    <mergeCell ref="E46:I46"/>
    <mergeCell ref="B3:O3"/>
    <mergeCell ref="B13:B14"/>
    <mergeCell ref="C13:C14"/>
    <mergeCell ref="B23:B24"/>
    <mergeCell ref="C23:C24"/>
    <mergeCell ref="B25:B26"/>
    <mergeCell ref="C25:C26"/>
    <mergeCell ref="B19:B20"/>
    <mergeCell ref="C19:C20"/>
    <mergeCell ref="B21:B22"/>
    <mergeCell ref="C21:C22"/>
    <mergeCell ref="B27:B28"/>
    <mergeCell ref="E41:I41"/>
    <mergeCell ref="B4:B5"/>
    <mergeCell ref="B9:B10"/>
    <mergeCell ref="C9:C10"/>
    <mergeCell ref="D4:D5"/>
    <mergeCell ref="B7:B8"/>
    <mergeCell ref="C7:C8"/>
    <mergeCell ref="B15:B16"/>
    <mergeCell ref="C15:C16"/>
    <mergeCell ref="B17:B18"/>
    <mergeCell ref="C17:C18"/>
    <mergeCell ref="B11:B12"/>
    <mergeCell ref="C11:C12"/>
    <mergeCell ref="B35:B36"/>
    <mergeCell ref="C35:C36"/>
    <mergeCell ref="B29:B30"/>
    <mergeCell ref="C29:C30"/>
    <mergeCell ref="B33:B34"/>
    <mergeCell ref="C33:C34"/>
    <mergeCell ref="E42:I42"/>
    <mergeCell ref="E43:I43"/>
    <mergeCell ref="E44:K44"/>
    <mergeCell ref="L4:O4"/>
    <mergeCell ref="C27:C28"/>
    <mergeCell ref="C4:C5"/>
    <mergeCell ref="E4:K4"/>
  </mergeCells>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5"/>
  </sheetPr>
  <dimension ref="A1:M42"/>
  <sheetViews>
    <sheetView showGridLines="0" showRowColHeaders="0" zoomScaleNormal="100" workbookViewId="0"/>
  </sheetViews>
  <sheetFormatPr defaultColWidth="10" defaultRowHeight="13.8" x14ac:dyDescent="0.25"/>
  <cols>
    <col min="1" max="1" width="4.109375" style="1" customWidth="1"/>
    <col min="2" max="2" width="69" style="1" customWidth="1"/>
    <col min="3" max="3" width="24.33203125" style="1" customWidth="1"/>
    <col min="4" max="4" width="15.88671875" style="1" customWidth="1"/>
    <col min="5" max="5" width="11.33203125" style="1" customWidth="1"/>
    <col min="6" max="8" width="11.44140625" style="1" customWidth="1"/>
    <col min="9" max="16384" width="10" style="1"/>
  </cols>
  <sheetData>
    <row r="1" spans="1:11" x14ac:dyDescent="0.25">
      <c r="B1" s="220" t="s">
        <v>19</v>
      </c>
      <c r="C1" s="3"/>
      <c r="D1" s="3"/>
      <c r="E1" s="3"/>
      <c r="F1" s="3"/>
      <c r="G1" s="3"/>
      <c r="H1" s="3"/>
    </row>
    <row r="2" spans="1:11" ht="14.4" thickBot="1" x14ac:dyDescent="0.3">
      <c r="A2" s="12"/>
    </row>
    <row r="3" spans="1:11" ht="34.200000000000003" customHeight="1" thickBot="1" x14ac:dyDescent="0.3">
      <c r="B3" s="341" t="s">
        <v>111</v>
      </c>
      <c r="C3" s="342"/>
      <c r="D3" s="232"/>
      <c r="E3" s="232"/>
      <c r="F3" s="232"/>
      <c r="G3" s="232"/>
      <c r="H3" s="233"/>
    </row>
    <row r="4" spans="1:11" ht="21.75" customHeight="1" thickBot="1" x14ac:dyDescent="0.3">
      <c r="B4" s="343" t="s">
        <v>54</v>
      </c>
      <c r="C4" s="343" t="s">
        <v>112</v>
      </c>
      <c r="D4" s="343" t="s">
        <v>113</v>
      </c>
      <c r="E4" s="346" t="s">
        <v>23</v>
      </c>
      <c r="F4" s="347"/>
      <c r="G4" s="334" t="s">
        <v>24</v>
      </c>
      <c r="H4" s="335"/>
    </row>
    <row r="5" spans="1:11" ht="14.4" thickBot="1" x14ac:dyDescent="0.3">
      <c r="B5" s="344"/>
      <c r="C5" s="345"/>
      <c r="D5" s="345"/>
      <c r="E5" s="87" t="s">
        <v>293</v>
      </c>
      <c r="F5" s="9" t="s">
        <v>302</v>
      </c>
      <c r="G5" s="88" t="str">
        <f>E5</f>
        <v>2021 P</v>
      </c>
      <c r="H5" s="89" t="str">
        <f>F5</f>
        <v>2022 P</v>
      </c>
    </row>
    <row r="6" spans="1:11" ht="28.8" thickBot="1" x14ac:dyDescent="0.3">
      <c r="B6" s="206" t="s">
        <v>114</v>
      </c>
      <c r="C6" s="210"/>
      <c r="D6" s="103" t="s">
        <v>115</v>
      </c>
      <c r="E6" s="90">
        <f>'2. Macro'!L8</f>
        <v>53678.806045080084</v>
      </c>
      <c r="F6" s="90">
        <f>'2. Macro'!M8</f>
        <v>57206.12159541346</v>
      </c>
      <c r="G6" s="90">
        <f>'2. Macro'!L7</f>
        <v>54312.358069536269</v>
      </c>
      <c r="H6" s="106">
        <f>'2. Macro'!M7</f>
        <v>57881.305281831956</v>
      </c>
    </row>
    <row r="7" spans="1:11" s="23" customFormat="1" ht="14.4" thickBot="1" x14ac:dyDescent="0.3">
      <c r="B7" s="320" t="s">
        <v>116</v>
      </c>
      <c r="C7" s="336" t="s">
        <v>117</v>
      </c>
      <c r="D7" s="158" t="s">
        <v>115</v>
      </c>
      <c r="E7" s="90">
        <f>-2347</f>
        <v>-2347</v>
      </c>
      <c r="F7" s="90">
        <f>F13-F15</f>
        <v>-1790.9000000000015</v>
      </c>
      <c r="G7" s="90">
        <f>G13-G15</f>
        <v>-2047.5</v>
      </c>
      <c r="H7" s="106">
        <f>H13-H15</f>
        <v>-1680.9000000000015</v>
      </c>
      <c r="J7" s="262"/>
      <c r="K7" s="262"/>
    </row>
    <row r="8" spans="1:11" s="23" customFormat="1" ht="14.4" thickBot="1" x14ac:dyDescent="0.3">
      <c r="B8" s="331"/>
      <c r="C8" s="337"/>
      <c r="D8" s="158" t="s">
        <v>118</v>
      </c>
      <c r="E8" s="90">
        <f>E7/$E$6*100</f>
        <v>-4.3723029123057655</v>
      </c>
      <c r="F8" s="90">
        <f>F7/$F$6*100</f>
        <v>-3.130609015353329</v>
      </c>
      <c r="G8" s="90">
        <f>G7/G6*100</f>
        <v>-3.7698602542327104</v>
      </c>
      <c r="H8" s="106">
        <f>H7/$F$6*100</f>
        <v>-2.9383219017853657</v>
      </c>
    </row>
    <row r="9" spans="1:11" s="23" customFormat="1" ht="14.4" thickBot="1" x14ac:dyDescent="0.3">
      <c r="B9" s="338" t="s">
        <v>119</v>
      </c>
      <c r="C9" s="336" t="s">
        <v>120</v>
      </c>
      <c r="D9" s="158" t="s">
        <v>115</v>
      </c>
      <c r="E9" s="94">
        <v>347.95299999999997</v>
      </c>
      <c r="F9" s="94">
        <v>329.32</v>
      </c>
      <c r="G9" s="90">
        <v>383.61200000000002</v>
      </c>
      <c r="H9" s="106">
        <v>308.91750000000002</v>
      </c>
    </row>
    <row r="10" spans="1:11" s="23" customFormat="1" ht="14.4" thickBot="1" x14ac:dyDescent="0.3">
      <c r="B10" s="339"/>
      <c r="C10" s="337"/>
      <c r="D10" s="158" t="s">
        <v>118</v>
      </c>
      <c r="E10" s="90">
        <f>E9/$E$6*100</f>
        <v>0.64821300180891694</v>
      </c>
      <c r="F10" s="90">
        <f>F9/$F$6*100</f>
        <v>0.57567265672910684</v>
      </c>
      <c r="G10" s="90">
        <f>G9/$G$6*100</f>
        <v>0.70630702410096147</v>
      </c>
      <c r="H10" s="106">
        <f>H9/$H$6*100</f>
        <v>0.53370859294868811</v>
      </c>
      <c r="I10" s="39"/>
    </row>
    <row r="11" spans="1:11" s="23" customFormat="1" ht="14.4" thickBot="1" x14ac:dyDescent="0.3">
      <c r="B11" s="338" t="s">
        <v>121</v>
      </c>
      <c r="C11" s="336" t="s">
        <v>122</v>
      </c>
      <c r="D11" s="158" t="s">
        <v>115</v>
      </c>
      <c r="E11" s="94">
        <v>46.309999999999697</v>
      </c>
      <c r="F11" s="94">
        <v>0</v>
      </c>
      <c r="G11" s="90">
        <f>E11</f>
        <v>46.309999999999697</v>
      </c>
      <c r="H11" s="106">
        <f>F11</f>
        <v>0</v>
      </c>
      <c r="I11" s="39"/>
    </row>
    <row r="12" spans="1:11" s="23" customFormat="1" ht="14.4" thickBot="1" x14ac:dyDescent="0.3">
      <c r="B12" s="339"/>
      <c r="C12" s="337"/>
      <c r="D12" s="158" t="s">
        <v>118</v>
      </c>
      <c r="E12" s="90">
        <f>E11/E6*100</f>
        <v>8.6272410681243583E-2</v>
      </c>
      <c r="F12" s="90">
        <f>F11/F6*100</f>
        <v>0</v>
      </c>
      <c r="G12" s="90">
        <f>G11/G6*100</f>
        <v>8.5266045603670668E-2</v>
      </c>
      <c r="H12" s="106">
        <f>H11/H6*100</f>
        <v>0</v>
      </c>
    </row>
    <row r="13" spans="1:11" s="23" customFormat="1" ht="14.4" thickBot="1" x14ac:dyDescent="0.3">
      <c r="B13" s="320" t="s">
        <v>123</v>
      </c>
      <c r="C13" s="322" t="s">
        <v>124</v>
      </c>
      <c r="D13" s="158" t="s">
        <v>115</v>
      </c>
      <c r="E13" s="268"/>
      <c r="F13" s="94">
        <v>22062.6</v>
      </c>
      <c r="G13" s="260">
        <v>20368.7</v>
      </c>
      <c r="H13" s="260">
        <v>22111.599999999999</v>
      </c>
    </row>
    <row r="14" spans="1:11" s="23" customFormat="1" ht="14.4" thickBot="1" x14ac:dyDescent="0.3">
      <c r="B14" s="321"/>
      <c r="C14" s="323"/>
      <c r="D14" s="158" t="s">
        <v>118</v>
      </c>
      <c r="E14" s="90">
        <v>37.6</v>
      </c>
      <c r="F14" s="90">
        <f>F13/$F$6*100</f>
        <v>38.566851561859565</v>
      </c>
      <c r="G14" s="90">
        <f>G13/$G$6*100</f>
        <v>37.502882813377198</v>
      </c>
      <c r="H14" s="106">
        <f>H13/$H$6*100</f>
        <v>38.201626401366738</v>
      </c>
    </row>
    <row r="15" spans="1:11" s="23" customFormat="1" ht="14.4" thickBot="1" x14ac:dyDescent="0.3">
      <c r="B15" s="320" t="s">
        <v>125</v>
      </c>
      <c r="C15" s="322" t="s">
        <v>126</v>
      </c>
      <c r="D15" s="158" t="s">
        <v>115</v>
      </c>
      <c r="E15" s="268"/>
      <c r="F15" s="94">
        <v>23853.5</v>
      </c>
      <c r="G15" s="260">
        <v>22416.2</v>
      </c>
      <c r="H15" s="260">
        <v>23792.5</v>
      </c>
      <c r="I15" s="262"/>
    </row>
    <row r="16" spans="1:11" s="23" customFormat="1" ht="14.4" thickBot="1" x14ac:dyDescent="0.3">
      <c r="B16" s="321"/>
      <c r="C16" s="323"/>
      <c r="D16" s="158" t="s">
        <v>118</v>
      </c>
      <c r="E16" s="90">
        <v>42</v>
      </c>
      <c r="F16" s="90">
        <f>F15/F6*100</f>
        <v>41.697460577212894</v>
      </c>
      <c r="G16" s="90">
        <f>G15/$G$6*100</f>
        <v>41.272743067609909</v>
      </c>
      <c r="H16" s="106">
        <f>H15/$H$6*100</f>
        <v>41.105672866482671</v>
      </c>
    </row>
    <row r="17" spans="2:11" s="23" customFormat="1" ht="14.4" thickBot="1" x14ac:dyDescent="0.3">
      <c r="B17" s="338" t="s">
        <v>127</v>
      </c>
      <c r="C17" s="322" t="s">
        <v>128</v>
      </c>
      <c r="D17" s="158" t="s">
        <v>115</v>
      </c>
      <c r="E17" s="90">
        <v>13550.751</v>
      </c>
      <c r="F17" s="264">
        <v>13137.077000000001</v>
      </c>
      <c r="G17" s="90">
        <f>E17</f>
        <v>13550.751</v>
      </c>
      <c r="H17" s="106">
        <f>F17</f>
        <v>13137.077000000001</v>
      </c>
    </row>
    <row r="18" spans="2:11" s="23" customFormat="1" ht="14.4" thickBot="1" x14ac:dyDescent="0.3">
      <c r="B18" s="339"/>
      <c r="C18" s="323"/>
      <c r="D18" s="158" t="s">
        <v>118</v>
      </c>
      <c r="E18" s="90">
        <f>E17/$E$6*100</f>
        <v>25.244136370358017</v>
      </c>
      <c r="F18" s="90">
        <f>F17/F6*100</f>
        <v>22.964460155000747</v>
      </c>
      <c r="G18" s="90">
        <f>G17/G6*100</f>
        <v>24.949664278341469</v>
      </c>
      <c r="H18" s="106">
        <f>H17/H6*100</f>
        <v>22.696580417517858</v>
      </c>
    </row>
    <row r="19" spans="2:11" s="23" customFormat="1" ht="14.4" thickBot="1" x14ac:dyDescent="0.3">
      <c r="B19" s="338" t="s">
        <v>129</v>
      </c>
      <c r="C19" s="322" t="s">
        <v>130</v>
      </c>
      <c r="D19" s="158" t="s">
        <v>115</v>
      </c>
      <c r="E19" s="90">
        <v>7605.0689999999995</v>
      </c>
      <c r="F19" s="264">
        <v>8323.6899999999987</v>
      </c>
      <c r="G19" s="90">
        <f>E19</f>
        <v>7605.0689999999995</v>
      </c>
      <c r="H19" s="106">
        <f>F19</f>
        <v>8323.6899999999987</v>
      </c>
    </row>
    <row r="20" spans="2:11" s="23" customFormat="1" ht="14.4" thickBot="1" x14ac:dyDescent="0.3">
      <c r="B20" s="340"/>
      <c r="C20" s="323"/>
      <c r="D20" s="158" t="s">
        <v>118</v>
      </c>
      <c r="E20" s="90">
        <f t="shared" ref="E20" si="0">E19/E6*100</f>
        <v>14.167731289725733</v>
      </c>
      <c r="F20" s="90">
        <f>F19/F6*100</f>
        <v>14.550348403041111</v>
      </c>
      <c r="G20" s="90">
        <f>G19/G6*100</f>
        <v>14.002465130059733</v>
      </c>
      <c r="H20" s="106">
        <f>H19/H6*100</f>
        <v>14.380619026248317</v>
      </c>
      <c r="J20" s="1"/>
      <c r="K20" s="1"/>
    </row>
    <row r="21" spans="2:11" s="23" customFormat="1" ht="14.4" thickBot="1" x14ac:dyDescent="0.3">
      <c r="B21" s="320" t="s">
        <v>131</v>
      </c>
      <c r="C21" s="336" t="s">
        <v>132</v>
      </c>
      <c r="D21" s="158" t="s">
        <v>115</v>
      </c>
      <c r="E21" s="90">
        <f>E19+E17</f>
        <v>21155.82</v>
      </c>
      <c r="F21" s="90">
        <f>F19+F17</f>
        <v>21460.767</v>
      </c>
      <c r="G21" s="90">
        <f>G19+G17</f>
        <v>21155.82</v>
      </c>
      <c r="H21" s="106">
        <f>H17+H19</f>
        <v>21460.767</v>
      </c>
      <c r="J21" s="1"/>
      <c r="K21" s="1"/>
    </row>
    <row r="22" spans="2:11" s="23" customFormat="1" ht="16.5" customHeight="1" thickBot="1" x14ac:dyDescent="0.3">
      <c r="B22" s="331"/>
      <c r="C22" s="337"/>
      <c r="D22" s="158" t="s">
        <v>118</v>
      </c>
      <c r="E22" s="90">
        <f>E21/E6*100</f>
        <v>39.411867660083757</v>
      </c>
      <c r="F22" s="90">
        <f>F21/F6*100</f>
        <v>37.514808558041857</v>
      </c>
      <c r="G22" s="90">
        <f>G21/$G$6*100</f>
        <v>38.952129408401198</v>
      </c>
      <c r="H22" s="106">
        <f>H21/$H$6*100</f>
        <v>37.077199443766176</v>
      </c>
      <c r="J22" s="1"/>
      <c r="K22" s="1"/>
    </row>
    <row r="23" spans="2:11" s="23" customFormat="1" ht="14.4" thickBot="1" x14ac:dyDescent="0.3">
      <c r="B23" s="320" t="s">
        <v>133</v>
      </c>
      <c r="C23" s="322" t="s">
        <v>134</v>
      </c>
      <c r="D23" s="158" t="s">
        <v>115</v>
      </c>
      <c r="E23" s="261">
        <v>3.3600000000000003</v>
      </c>
      <c r="F23" s="95">
        <v>-0.4</v>
      </c>
      <c r="G23" s="261">
        <f>E23</f>
        <v>3.3600000000000003</v>
      </c>
      <c r="H23" s="261">
        <f>F23</f>
        <v>-0.4</v>
      </c>
      <c r="J23" s="1"/>
      <c r="K23" s="1"/>
    </row>
    <row r="24" spans="2:11" ht="14.4" thickBot="1" x14ac:dyDescent="0.3">
      <c r="B24" s="321"/>
      <c r="C24" s="323"/>
      <c r="D24" s="158" t="s">
        <v>118</v>
      </c>
      <c r="E24" s="90">
        <f>E23/E6*100</f>
        <v>6.2594536793128992E-3</v>
      </c>
      <c r="F24" s="90">
        <f>F23/F6*100</f>
        <v>-6.9922586751986751E-4</v>
      </c>
      <c r="G24" s="90">
        <f>G23/G6*100</f>
        <v>6.1864373402793198E-3</v>
      </c>
      <c r="H24" s="106">
        <f>H23/H6*100</f>
        <v>-6.910694187913447E-4</v>
      </c>
    </row>
    <row r="25" spans="2:11" ht="14.4" thickBot="1" x14ac:dyDescent="0.3">
      <c r="B25" s="320" t="s">
        <v>135</v>
      </c>
      <c r="C25" s="322" t="s">
        <v>136</v>
      </c>
      <c r="D25" s="158" t="s">
        <v>115</v>
      </c>
      <c r="E25" s="261">
        <v>0</v>
      </c>
      <c r="F25" s="95">
        <v>0</v>
      </c>
      <c r="G25" s="95">
        <v>0</v>
      </c>
      <c r="H25" s="95">
        <v>0</v>
      </c>
    </row>
    <row r="26" spans="2:11" ht="14.4" thickBot="1" x14ac:dyDescent="0.3">
      <c r="B26" s="321"/>
      <c r="C26" s="323"/>
      <c r="D26" s="158" t="s">
        <v>118</v>
      </c>
      <c r="E26" s="90">
        <f>E25/$E$6*100</f>
        <v>0</v>
      </c>
      <c r="F26" s="90">
        <f>F25/$F$6*100</f>
        <v>0</v>
      </c>
      <c r="G26" s="90">
        <f>G25/$G$6*100</f>
        <v>0</v>
      </c>
      <c r="H26" s="106">
        <f>H25/$H$6*100</f>
        <v>0</v>
      </c>
    </row>
    <row r="27" spans="2:11" ht="14.4" thickBot="1" x14ac:dyDescent="0.3">
      <c r="B27" s="320" t="s">
        <v>137</v>
      </c>
      <c r="C27" s="322" t="s">
        <v>138</v>
      </c>
      <c r="D27" s="158" t="s">
        <v>115</v>
      </c>
      <c r="E27" s="261">
        <v>0</v>
      </c>
      <c r="F27" s="95">
        <v>0</v>
      </c>
      <c r="G27" s="95">
        <v>0</v>
      </c>
      <c r="H27" s="95">
        <v>0</v>
      </c>
    </row>
    <row r="28" spans="2:11" ht="14.4" thickBot="1" x14ac:dyDescent="0.3">
      <c r="B28" s="321"/>
      <c r="C28" s="323"/>
      <c r="D28" s="158" t="s">
        <v>118</v>
      </c>
      <c r="E28" s="90">
        <f>E27/$E$6*100</f>
        <v>0</v>
      </c>
      <c r="F28" s="90">
        <f>F27/$F$6*100</f>
        <v>0</v>
      </c>
      <c r="G28" s="90">
        <f>G27/$G$6*100</f>
        <v>0</v>
      </c>
      <c r="H28" s="106">
        <f>H27/$H$6*100</f>
        <v>0</v>
      </c>
    </row>
    <row r="29" spans="2:11" ht="28.8" thickBot="1" x14ac:dyDescent="0.3">
      <c r="B29" s="208" t="s">
        <v>139</v>
      </c>
      <c r="C29" s="158" t="s">
        <v>140</v>
      </c>
      <c r="D29" s="158" t="s">
        <v>118</v>
      </c>
      <c r="E29" s="38">
        <v>0</v>
      </c>
      <c r="F29" s="38">
        <v>0</v>
      </c>
      <c r="G29" s="38">
        <f>E29</f>
        <v>0</v>
      </c>
      <c r="H29" s="38">
        <f>F29</f>
        <v>0</v>
      </c>
    </row>
    <row r="30" spans="2:11" ht="33" customHeight="1" thickBot="1" x14ac:dyDescent="0.3">
      <c r="B30" s="208" t="s">
        <v>141</v>
      </c>
      <c r="C30" s="158" t="s">
        <v>142</v>
      </c>
      <c r="D30" s="158" t="s">
        <v>118</v>
      </c>
      <c r="E30" s="261">
        <f>E8-'2. Macro'!L22-E24+E29</f>
        <v>-4.1149016496099122</v>
      </c>
      <c r="F30" s="95">
        <f>F8-'2. Macro'!M22-F24+F29</f>
        <v>-2.9634823911864707</v>
      </c>
      <c r="G30" s="263">
        <f>G8-'2. Macro'!L21-G24+G29</f>
        <v>-3.8796964694053555</v>
      </c>
      <c r="H30" s="263">
        <f>H8-'2. Macro'!M21-H24+H29</f>
        <v>-3.2005784568438487</v>
      </c>
    </row>
    <row r="31" spans="2:11" ht="28.8" thickBot="1" x14ac:dyDescent="0.3">
      <c r="B31" s="208" t="s">
        <v>143</v>
      </c>
      <c r="C31" s="158" t="s">
        <v>144</v>
      </c>
      <c r="D31" s="158" t="s">
        <v>118</v>
      </c>
      <c r="E31" s="19">
        <f>E10-'2. Macro'!L24-E26</f>
        <v>0.70636373624755011</v>
      </c>
      <c r="F31" s="19">
        <f>F10-'2. Macro'!M24-F26</f>
        <v>0.61237844883522663</v>
      </c>
      <c r="G31" s="19">
        <f>G10-'2. Macro'!L23-G26</f>
        <v>0.68344692272439955</v>
      </c>
      <c r="H31" s="19">
        <f>H10-'2. Macro'!M23-H26</f>
        <v>0.47571513191109377</v>
      </c>
    </row>
    <row r="32" spans="2:11" ht="28.8" thickBot="1" x14ac:dyDescent="0.3">
      <c r="B32" s="208" t="s">
        <v>145</v>
      </c>
      <c r="C32" s="158" t="s">
        <v>146</v>
      </c>
      <c r="D32" s="158" t="s">
        <v>118</v>
      </c>
      <c r="E32" s="19">
        <f>E12-'2. Macro'!L26-E28</f>
        <v>0.11402617029968216</v>
      </c>
      <c r="F32" s="19">
        <f>F12-'2. Macro'!M26-F28</f>
        <v>1.7518673505193538E-2</v>
      </c>
      <c r="G32" s="38">
        <f>G12-'2. Macro'!L25-G28</f>
        <v>7.4355542673947936E-2</v>
      </c>
      <c r="H32" s="38">
        <f>H12-'2. Macro'!M25-H28</f>
        <v>-2.7678697313397296E-2</v>
      </c>
    </row>
    <row r="33" spans="2:13" ht="28.8" thickBot="1" x14ac:dyDescent="0.3">
      <c r="B33" s="208" t="s">
        <v>147</v>
      </c>
      <c r="C33" s="209" t="s">
        <v>148</v>
      </c>
      <c r="D33" s="158" t="s">
        <v>118</v>
      </c>
      <c r="E33" s="107">
        <v>-1</v>
      </c>
      <c r="F33" s="107">
        <v>-1</v>
      </c>
      <c r="G33" s="107">
        <v>-1</v>
      </c>
      <c r="H33" s="259">
        <v>-1</v>
      </c>
    </row>
    <row r="34" spans="2:13" ht="28.8" thickBot="1" x14ac:dyDescent="0.35">
      <c r="B34" s="208" t="s">
        <v>149</v>
      </c>
      <c r="C34" s="209" t="s">
        <v>150</v>
      </c>
      <c r="D34" s="158" t="s">
        <v>118</v>
      </c>
      <c r="E34" s="107">
        <v>0</v>
      </c>
      <c r="F34" s="107">
        <v>0</v>
      </c>
      <c r="G34" s="107">
        <v>0</v>
      </c>
      <c r="H34" s="259">
        <v>0</v>
      </c>
      <c r="J34" s="270"/>
      <c r="K34" s="270"/>
    </row>
    <row r="35" spans="2:13" x14ac:dyDescent="0.25">
      <c r="C35" s="40"/>
      <c r="D35" s="40"/>
      <c r="E35" s="40"/>
      <c r="F35" s="40"/>
      <c r="G35" s="40"/>
      <c r="H35" s="40"/>
    </row>
    <row r="36" spans="2:13" ht="15" thickBot="1" x14ac:dyDescent="0.35">
      <c r="C36" s="10" t="s">
        <v>47</v>
      </c>
      <c r="D36" s="10"/>
      <c r="E36" s="192" t="s">
        <v>48</v>
      </c>
      <c r="F36" s="92"/>
      <c r="G36" s="92"/>
      <c r="H36" s="92"/>
    </row>
    <row r="37" spans="2:13" ht="15" thickBot="1" x14ac:dyDescent="0.35">
      <c r="B37" s="41"/>
      <c r="C37" s="42" t="s">
        <v>151</v>
      </c>
      <c r="D37" s="31"/>
      <c r="E37" s="193" t="s">
        <v>152</v>
      </c>
      <c r="F37" s="91"/>
      <c r="G37" s="91"/>
    </row>
    <row r="38" spans="2:13" ht="15" customHeight="1" thickBot="1" x14ac:dyDescent="0.35">
      <c r="B38" s="43"/>
      <c r="C38" s="10" t="s">
        <v>105</v>
      </c>
      <c r="D38" s="32"/>
      <c r="E38" s="271" t="s">
        <v>106</v>
      </c>
      <c r="F38" s="270"/>
      <c r="G38" s="270"/>
      <c r="H38" s="270"/>
      <c r="I38" s="270"/>
      <c r="L38" s="270"/>
      <c r="M38" s="270"/>
    </row>
    <row r="39" spans="2:13" ht="15" thickBot="1" x14ac:dyDescent="0.35">
      <c r="C39" s="10"/>
      <c r="E39" s="130"/>
    </row>
    <row r="40" spans="2:13" ht="14.4" thickBot="1" x14ac:dyDescent="0.3">
      <c r="C40" s="33" t="s">
        <v>108</v>
      </c>
      <c r="D40" s="34"/>
      <c r="E40" s="194" t="s">
        <v>109</v>
      </c>
      <c r="F40" s="93"/>
      <c r="G40" s="93"/>
    </row>
    <row r="41" spans="2:13" ht="14.4" customHeight="1" x14ac:dyDescent="0.25">
      <c r="C41" s="333"/>
      <c r="D41" s="333"/>
      <c r="E41" s="24"/>
      <c r="F41" s="24"/>
      <c r="G41" s="24"/>
      <c r="H41" s="24"/>
    </row>
    <row r="42" spans="2:13" x14ac:dyDescent="0.25">
      <c r="C42" s="333"/>
      <c r="D42" s="333"/>
      <c r="E42" s="24"/>
      <c r="F42" s="24"/>
      <c r="G42" s="24"/>
      <c r="H42" s="24"/>
    </row>
  </sheetData>
  <mergeCells count="30">
    <mergeCell ref="B27:B28"/>
    <mergeCell ref="B15:B16"/>
    <mergeCell ref="C15:C16"/>
    <mergeCell ref="B23:B24"/>
    <mergeCell ref="C23:C24"/>
    <mergeCell ref="B25:B26"/>
    <mergeCell ref="C25:C26"/>
    <mergeCell ref="B21:B22"/>
    <mergeCell ref="C21:C22"/>
    <mergeCell ref="B3:C3"/>
    <mergeCell ref="B4:B5"/>
    <mergeCell ref="C4:C5"/>
    <mergeCell ref="D4:D5"/>
    <mergeCell ref="E4:F4"/>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 ref="C27:C28"/>
  </mergeCells>
  <hyperlinks>
    <hyperlink ref="B1" location="Content!A1" display="↖ atgal į turinį" xr:uid="{8D49A034-0168-4894-B604-40CFF3F7B0DE}"/>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rgb="FF47ABD9"/>
  </sheetPr>
  <dimension ref="A1:L45"/>
  <sheetViews>
    <sheetView showGridLines="0" showRowColHeaders="0" zoomScaleNormal="100" workbookViewId="0"/>
  </sheetViews>
  <sheetFormatPr defaultColWidth="10" defaultRowHeight="13.8" x14ac:dyDescent="0.25"/>
  <cols>
    <col min="1" max="1" width="3.6640625" style="1" customWidth="1"/>
    <col min="2" max="2" width="5.33203125" style="1" customWidth="1"/>
    <col min="3" max="3" width="62.5546875" style="1" customWidth="1"/>
    <col min="4" max="4" width="23.33203125" style="1" customWidth="1"/>
    <col min="5" max="6" width="18.88671875" style="1" customWidth="1"/>
    <col min="7" max="16384" width="10" style="1"/>
  </cols>
  <sheetData>
    <row r="1" spans="1:12" x14ac:dyDescent="0.25">
      <c r="A1" s="2"/>
      <c r="B1" s="370" t="s">
        <v>19</v>
      </c>
      <c r="C1" s="370"/>
      <c r="D1" s="2"/>
    </row>
    <row r="2" spans="1:12" ht="14.4" thickBot="1" x14ac:dyDescent="0.3">
      <c r="A2" s="12" t="s">
        <v>20</v>
      </c>
    </row>
    <row r="3" spans="1:12" ht="34.5" customHeight="1" thickTop="1" thickBot="1" x14ac:dyDescent="0.3">
      <c r="A3" s="13"/>
      <c r="B3" s="289" t="s">
        <v>153</v>
      </c>
      <c r="C3" s="371"/>
      <c r="D3" s="371"/>
      <c r="E3" s="371"/>
      <c r="F3" s="372"/>
    </row>
    <row r="4" spans="1:12" ht="41.25" customHeight="1" thickBot="1" x14ac:dyDescent="0.3">
      <c r="B4" s="100" t="s">
        <v>154</v>
      </c>
      <c r="C4" s="129" t="s">
        <v>155</v>
      </c>
      <c r="D4" s="129" t="s">
        <v>156</v>
      </c>
      <c r="E4" s="373" t="s">
        <v>157</v>
      </c>
      <c r="F4" s="374"/>
      <c r="J4" s="142"/>
      <c r="K4" s="142"/>
      <c r="L4" s="142"/>
    </row>
    <row r="5" spans="1:12" ht="33" customHeight="1" thickBot="1" x14ac:dyDescent="0.3">
      <c r="B5" s="375" t="s">
        <v>158</v>
      </c>
      <c r="C5" s="376"/>
      <c r="D5" s="377"/>
      <c r="E5" s="124" t="s">
        <v>23</v>
      </c>
      <c r="F5" s="125" t="s">
        <v>24</v>
      </c>
      <c r="J5" s="142"/>
      <c r="K5" s="142"/>
      <c r="L5" s="142"/>
    </row>
    <row r="6" spans="1:12" ht="14.25" customHeight="1" x14ac:dyDescent="0.25">
      <c r="B6" s="378"/>
      <c r="C6" s="143" t="s">
        <v>159</v>
      </c>
      <c r="D6" s="364"/>
      <c r="E6" s="351" t="str">
        <f>"Taip"</f>
        <v>Taip</v>
      </c>
      <c r="F6" s="352"/>
    </row>
    <row r="7" spans="1:12" ht="14.25" customHeight="1" thickBot="1" x14ac:dyDescent="0.35">
      <c r="B7" s="379"/>
      <c r="C7" s="144" t="s">
        <v>29</v>
      </c>
      <c r="D7" s="365"/>
      <c r="E7" s="362" t="str">
        <f>"Yes"</f>
        <v>Yes</v>
      </c>
      <c r="F7" s="363"/>
    </row>
    <row r="8" spans="1:12" ht="18" customHeight="1" x14ac:dyDescent="0.25">
      <c r="B8" s="367" t="s">
        <v>160</v>
      </c>
      <c r="C8" s="359" t="s">
        <v>161</v>
      </c>
      <c r="D8" s="343" t="s">
        <v>162</v>
      </c>
      <c r="E8" s="150" t="str">
        <f>IF(E28&gt;eps,"Tiesa","Netiesa")</f>
        <v>Netiesa</v>
      </c>
      <c r="F8" s="45" t="str">
        <f>IF(F28&gt;eps,"Tiesa","Netiesa")</f>
        <v>Netiesa</v>
      </c>
    </row>
    <row r="9" spans="1:12" ht="15.75" customHeight="1" x14ac:dyDescent="0.25">
      <c r="B9" s="368"/>
      <c r="C9" s="360"/>
      <c r="D9" s="361"/>
      <c r="E9" s="140" t="str">
        <f>CONCATENATE(FIXED(E28,1),IF(E28="Tiesa"," ≥ "," &lt; "),FIXED(0,1))</f>
        <v>-3,0 &lt; 0,0</v>
      </c>
      <c r="F9" s="141" t="str">
        <f>CONCATENATE(FIXED(F28,1),IF(F28="Tiesa"," ≥ "," &lt; "),FIXED(0,1))</f>
        <v>-3,2 &lt; 0,0</v>
      </c>
      <c r="H9" s="46"/>
    </row>
    <row r="10" spans="1:12" ht="15" thickBot="1" x14ac:dyDescent="0.3">
      <c r="B10" s="369"/>
      <c r="C10" s="145" t="s">
        <v>163</v>
      </c>
      <c r="D10" s="345"/>
      <c r="E10" s="131" t="str">
        <f>IF(E8="Tiesa","True","False")</f>
        <v>False</v>
      </c>
      <c r="F10" s="122" t="str">
        <f>IF(F8="Tiesa","True","False")</f>
        <v>False</v>
      </c>
      <c r="H10" s="46"/>
    </row>
    <row r="11" spans="1:12" ht="36" customHeight="1" x14ac:dyDescent="0.25">
      <c r="B11" s="367" t="s">
        <v>164</v>
      </c>
      <c r="C11" s="359" t="s">
        <v>165</v>
      </c>
      <c r="D11" s="343" t="s">
        <v>166</v>
      </c>
      <c r="E11" s="150" t="str">
        <f>IF((ABS(E28)+eps&lt;ABS($E$30))*(ABS(E28)&lt;ABS(E29))*(E31&gt;=-eps),"Tiesa","Netiesa")</f>
        <v>Netiesa</v>
      </c>
      <c r="F11" s="45" t="str">
        <f>IF((ABS(F28)+eps&lt;ABS($E$30))*(ABS(F28)&lt;ABS(F29))*(F31&gt;=-eps),"Tiesa","Netiesa")</f>
        <v>Netiesa</v>
      </c>
      <c r="I11" s="25"/>
    </row>
    <row r="12" spans="1:12" ht="43.5" customHeight="1" x14ac:dyDescent="0.25">
      <c r="B12" s="368"/>
      <c r="C12" s="360"/>
      <c r="D12" s="361"/>
      <c r="E12" s="84" t="str">
        <f>CONCATENATE(FIXED(ABS(E28),1),IF(ABS(E28)+eps&lt;ABS($E$30)," &lt; "," ≥ "),FIXED(ABS($E$30),1)," &amp;
",FIXED(ABS(E28),1),IF(ABS(E28)&lt;ABS(E29)," &lt; "," ≥ "),FIXED(ABS(E29),1)," &amp;
",FIXED(E31,1),IF(E31&lt;-eps," &lt; "," ≥ "),FIXED(0,1))</f>
        <v>3,0 ≥ 1,0 &amp;
3,0 &lt; 4,1 &amp;
-0,4 &lt; 0,0</v>
      </c>
      <c r="F12" s="139" t="str">
        <f>CONCATENATE(FIXED(ABS(F28),1),IF(ABS(F28)+eps&lt;ABS($E$30)," &lt; "," ≥ "),FIXED(ABS($E$30),1)," &amp;
",FIXED(ABS(F28),1),IF(ABS(F28)&lt;ABS(F29)," &lt; "," ≥ "),FIXED(ABS(F29),1)," &amp;
",FIXED(F31,1),IF(F31&lt;-eps," &lt; "," ≥ "),FIXED(0,1))</f>
        <v>3,2 ≥ 1,0 &amp;
3,2 &lt; 3,9 &amp;
0,7 ≥ 0,0</v>
      </c>
      <c r="G12" s="47"/>
      <c r="H12" s="48"/>
      <c r="I12" s="25"/>
      <c r="J12" s="25"/>
    </row>
    <row r="13" spans="1:12" ht="45" customHeight="1" thickBot="1" x14ac:dyDescent="0.3">
      <c r="B13" s="369"/>
      <c r="C13" s="145" t="s">
        <v>167</v>
      </c>
      <c r="D13" s="345"/>
      <c r="E13" s="86" t="str">
        <f>IF(E11="Tiesa","True","False")</f>
        <v>False</v>
      </c>
      <c r="F13" s="132" t="str">
        <f>IF(F11="Tiesa","True","False")</f>
        <v>False</v>
      </c>
      <c r="G13" s="47"/>
      <c r="H13" s="48"/>
      <c r="I13" s="25"/>
      <c r="J13" s="25"/>
    </row>
    <row r="14" spans="1:12" ht="33.75" customHeight="1" x14ac:dyDescent="0.25">
      <c r="B14" s="367" t="s">
        <v>168</v>
      </c>
      <c r="C14" s="359" t="s">
        <v>169</v>
      </c>
      <c r="D14" s="343" t="s">
        <v>170</v>
      </c>
      <c r="E14" s="150" t="str">
        <f>IF((ABS(E28)+eps&lt;ABS($E$30))*(E31&lt;-eps),"Tiesa","Netiesa")</f>
        <v>Netiesa</v>
      </c>
      <c r="F14" s="45" t="str">
        <f>IF((ABS(F28)+eps&lt;ABS($E$30))*(F31&lt;-eps),"Tiesa","Netiesa")</f>
        <v>Netiesa</v>
      </c>
      <c r="I14" s="25"/>
      <c r="J14" s="25"/>
    </row>
    <row r="15" spans="1:12" ht="33" customHeight="1" x14ac:dyDescent="0.25">
      <c r="B15" s="368"/>
      <c r="C15" s="360"/>
      <c r="D15" s="361"/>
      <c r="E15" s="84" t="str">
        <f>CONCATENATE(FIXED(ABS(E28),1),IF(ABS(E28)+eps&lt;ABS($E$30)," &lt; "," ≥ "),FIXED(ABS($E$30),1)," &amp;
",FIXED(E31,1),IF(E31&lt;-eps," &lt; "," ≥ "),FIXED(0,1))</f>
        <v>3,0 ≥ 1,0 &amp;
-0,4 &lt; 0,0</v>
      </c>
      <c r="F15" s="139" t="str">
        <f>CONCATENATE(FIXED(ABS(F28),1),IF(ABS(F28)+eps&lt;ABS($E$30)," &lt; "," ≥ "),FIXED(ABS($E$30),1)," &amp;
",FIXED(F31,1),IF(F31&lt;-eps," &lt; "," ≥ "),FIXED(0,1))</f>
        <v>3,2 ≥ 1,0 &amp;
0,7 ≥ 0,0</v>
      </c>
    </row>
    <row r="16" spans="1:12" ht="44.25" customHeight="1" thickBot="1" x14ac:dyDescent="0.3">
      <c r="B16" s="369"/>
      <c r="C16" s="145" t="s">
        <v>171</v>
      </c>
      <c r="D16" s="345"/>
      <c r="E16" s="86" t="str">
        <f>IF(E14="Tiesa","True","False")</f>
        <v>False</v>
      </c>
      <c r="F16" s="121" t="str">
        <f>IF(F14="Tiesa","True","False")</f>
        <v>False</v>
      </c>
    </row>
    <row r="17" spans="2:6" ht="34.5" customHeight="1" x14ac:dyDescent="0.25">
      <c r="B17" s="367" t="s">
        <v>172</v>
      </c>
      <c r="C17" s="381" t="s">
        <v>173</v>
      </c>
      <c r="D17" s="356" t="s">
        <v>174</v>
      </c>
      <c r="E17" s="150" t="str">
        <f>IF(($E$32&gt;0),IF((E28&gt;=E29+$E$32),"Tiesa","Netiesa"),"Netaikoma")</f>
        <v>Netaikoma</v>
      </c>
      <c r="F17" s="152" t="str">
        <f>IF(($E$32&gt;0),IF((E28&gt;=E29+$E$32),"Tiesa","Netiesa"),"Netaikoma")</f>
        <v>Netaikoma</v>
      </c>
    </row>
    <row r="18" spans="2:6" ht="15.75" customHeight="1" x14ac:dyDescent="0.25">
      <c r="B18" s="368"/>
      <c r="C18" s="382"/>
      <c r="D18" s="357"/>
      <c r="E18" s="151" t="str">
        <f>IF($E$32=0,"",CONCATENATE(FIXED(E28,1),IF(E28&gt;=E29+$E$32," ≥ "," &lt; "),FIXED(E29,1)," + ",FIXED($E$32,1)," = ",FIXED(E29+$E$32,1)))</f>
        <v/>
      </c>
      <c r="F18" s="139" t="str">
        <f>IF($E$32=0,"",CONCATENATE(FIXED(F28,1),IF(F28&gt;=F29+$E$32," ≥ "," &lt; "),FIXED(F29,1)," + ",FIXED($E$32,1)," = ",FIXED(F29+$E$32,1)))</f>
        <v/>
      </c>
    </row>
    <row r="19" spans="2:6" ht="47.25" customHeight="1" thickBot="1" x14ac:dyDescent="0.3">
      <c r="B19" s="369"/>
      <c r="C19" s="146" t="s">
        <v>175</v>
      </c>
      <c r="D19" s="383"/>
      <c r="E19" s="86" t="str">
        <f>IF(E17="Tiesa","True",IF(E17="Netaikoma","Not applicable","False"))</f>
        <v>Not applicable</v>
      </c>
      <c r="F19" s="121" t="str">
        <f>IF(F17="Tiesa","True",IF(F17="Netaikoma","Not applicable","False"))</f>
        <v>Not applicable</v>
      </c>
    </row>
    <row r="20" spans="2:6" x14ac:dyDescent="0.25">
      <c r="B20" s="367" t="s">
        <v>176</v>
      </c>
      <c r="C20" s="354" t="s">
        <v>177</v>
      </c>
      <c r="D20" s="356"/>
      <c r="E20" s="49" t="str">
        <f>IF(E6="Taip","Netaikoma", IF(OR(E8="Tiesa",E11="Tiesa",E14="Tiesa",E17="Tiesa"),"Taip","Ne"))</f>
        <v>Netaikoma</v>
      </c>
      <c r="F20" s="50" t="str">
        <f>IF(E6="Taip","Netaikoma", IF(OR(F8="Tiesa",F11="Tiesa",F14="Tiesa",F17="Tiesa"),"Taip","Ne"))</f>
        <v>Netaikoma</v>
      </c>
    </row>
    <row r="21" spans="2:6" ht="43.95" customHeight="1" x14ac:dyDescent="0.25">
      <c r="B21" s="368"/>
      <c r="C21" s="355"/>
      <c r="D21" s="357"/>
      <c r="E21" s="135"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c r="F21" s="97" t="str">
        <f>IF($E$6="Taip","Paskelbtos išskirtinės aplinkybės",IF(E20="Taip",IF(E34=1,CONCATENATE("Tenkinama ",I30,I31,I32,I33," sąlyga"),CONCATENATE("Tenkinamos ", IF(E30=1,CONCATENATE(I30," "),""),IF(E31=1,CONCATENATE(I31," "),""),IF(E32=1,CONCATENATE(I32," "),""),IF(E33=1,CONCATENATE(I33," "),""),"sąlygos")),"Netenkinama nei viena iš sąlygų"))</f>
        <v>Paskelbtos išskirtinės aplinkybės</v>
      </c>
    </row>
    <row r="22" spans="2:6" ht="21" customHeight="1" x14ac:dyDescent="0.25">
      <c r="B22" s="368"/>
      <c r="C22" s="384" t="s">
        <v>178</v>
      </c>
      <c r="D22" s="357"/>
      <c r="E22" s="136" t="str">
        <f>IF(E20="Taip","Yes",IF(E20="Netaikoma","Not applicable","False"))</f>
        <v>Not applicable</v>
      </c>
      <c r="F22" s="98" t="str">
        <f>IF(F20="Taip","Yes",IF(F20="Netaikoma","Not applicable","False"))</f>
        <v>Not applicable</v>
      </c>
    </row>
    <row r="23" spans="2:6" ht="28.5" customHeight="1" thickBot="1" x14ac:dyDescent="0.3">
      <c r="B23" s="380"/>
      <c r="C23" s="385"/>
      <c r="D23" s="358"/>
      <c r="E23" s="137" t="str">
        <f>IF($E$6="Taip","Exceptional circumstances",IF(J16="Yes",IF(E33=1,CONCATENATE("Condition ",J29,J30,J31,J32," is valid"),CONCATENATE("Conditions ", IF(E29=1,CONCATENATE(J29," "),""),IF(E30=1,CONCATENATE(J30," "),""),IF(E31=1,CONCATENATE(J31," "),""),IF(E32=1,CONCATENATE(J32," "),""),"are valid")),"None of the conditions is valid"))</f>
        <v>Exceptional circumstances</v>
      </c>
      <c r="F23" s="138" t="str">
        <f>IF($E$6="Taip","Exceptional circumstances",IF(J16="Yes",IF(E33=1,CONCATENATE("Condition ",J29,J30,J31,J32," is valid"),CONCATENATE("Conditions ", IF(E29=1,CONCATENATE(J29," "),""),IF(E30=1,CONCATENATE(J30," "),""),IF(E31=1,CONCATENATE(J31," "),""),IF(E32=1,CONCATENATE(J32," "),""),"are valid")),"None of the conditions is valid"))</f>
        <v>Exceptional circumstances</v>
      </c>
    </row>
    <row r="24" spans="2:6" ht="15.75" customHeight="1" thickTop="1" x14ac:dyDescent="0.25">
      <c r="C24" s="348" t="s">
        <v>179</v>
      </c>
      <c r="D24" s="348"/>
      <c r="E24" s="348"/>
      <c r="F24" s="348"/>
    </row>
    <row r="25" spans="2:6" ht="15.75" customHeight="1" x14ac:dyDescent="0.25">
      <c r="C25" s="366" t="s">
        <v>180</v>
      </c>
      <c r="D25" s="366"/>
      <c r="E25" s="366"/>
      <c r="F25" s="366"/>
    </row>
    <row r="26" spans="2:6" ht="14.4" thickBot="1" x14ac:dyDescent="0.3">
      <c r="C26" s="52" t="s">
        <v>181</v>
      </c>
      <c r="D26" s="52"/>
      <c r="E26" s="13"/>
      <c r="F26" s="13"/>
    </row>
    <row r="27" spans="2:6" ht="14.4" thickBot="1" x14ac:dyDescent="0.3">
      <c r="C27" s="102" t="s">
        <v>182</v>
      </c>
      <c r="D27" s="53" t="s">
        <v>183</v>
      </c>
      <c r="E27" s="349">
        <v>2022</v>
      </c>
      <c r="F27" s="349"/>
    </row>
    <row r="28" spans="2:6" ht="14.4" thickBot="1" x14ac:dyDescent="0.3">
      <c r="D28" s="53" t="s">
        <v>184</v>
      </c>
      <c r="E28" s="55">
        <f>'3. GGbudget'!F30</f>
        <v>-2.9634823911864707</v>
      </c>
      <c r="F28" s="56">
        <f>'3. GGbudget'!H30</f>
        <v>-3.2005784568438487</v>
      </c>
    </row>
    <row r="29" spans="2:6" ht="14.4" thickBot="1" x14ac:dyDescent="0.3">
      <c r="D29" s="53" t="s">
        <v>185</v>
      </c>
      <c r="E29" s="55">
        <f>'3. GGbudget'!E30</f>
        <v>-4.1149016496099122</v>
      </c>
      <c r="F29" s="56">
        <f>'3. GGbudget'!G30</f>
        <v>-3.8796964694053555</v>
      </c>
    </row>
    <row r="30" spans="2:6" ht="14.4" thickBot="1" x14ac:dyDescent="0.3">
      <c r="D30" s="53" t="s">
        <v>186</v>
      </c>
      <c r="E30" s="350">
        <f>'3. GGbudget'!F33</f>
        <v>-1</v>
      </c>
      <c r="F30" s="350"/>
    </row>
    <row r="31" spans="2:6" ht="14.4" thickBot="1" x14ac:dyDescent="0.3">
      <c r="D31" s="53" t="s">
        <v>187</v>
      </c>
      <c r="E31" s="55">
        <f>'2. Macro'!M20</f>
        <v>-0.41711127393317948</v>
      </c>
      <c r="F31" s="56">
        <f>'2. Macro'!M19</f>
        <v>0.65901660269993556</v>
      </c>
    </row>
    <row r="32" spans="2:6" ht="14.4" thickBot="1" x14ac:dyDescent="0.3">
      <c r="D32" s="53" t="s">
        <v>188</v>
      </c>
      <c r="E32" s="353">
        <f>'3. GGbudget'!F34</f>
        <v>0</v>
      </c>
      <c r="F32" s="353"/>
    </row>
    <row r="33" spans="3:9" ht="15" thickBot="1" x14ac:dyDescent="0.35">
      <c r="D33" s="10" t="s">
        <v>47</v>
      </c>
      <c r="G33" s="205" t="s">
        <v>48</v>
      </c>
    </row>
    <row r="34" spans="3:9" ht="15" thickBot="1" x14ac:dyDescent="0.35">
      <c r="C34" s="10"/>
      <c r="D34" s="10" t="s">
        <v>49</v>
      </c>
      <c r="E34" s="303" t="s">
        <v>23</v>
      </c>
      <c r="F34" s="304"/>
      <c r="G34" s="205" t="s">
        <v>50</v>
      </c>
    </row>
    <row r="35" spans="3:9" ht="15" thickBot="1" x14ac:dyDescent="0.35">
      <c r="C35" s="10"/>
      <c r="D35" s="10" t="s">
        <v>51</v>
      </c>
      <c r="E35" s="305" t="s">
        <v>24</v>
      </c>
      <c r="F35" s="306"/>
      <c r="G35" s="231" t="s">
        <v>52</v>
      </c>
    </row>
    <row r="36" spans="3:9" s="12" customFormat="1" ht="14.4" x14ac:dyDescent="0.3">
      <c r="C36" s="57" t="s">
        <v>189</v>
      </c>
      <c r="D36" s="58" t="s">
        <v>190</v>
      </c>
      <c r="E36" s="133">
        <f>J13*1</f>
        <v>0</v>
      </c>
      <c r="F36" s="59"/>
    </row>
    <row r="37" spans="3:9" s="12" customFormat="1" ht="14.4" x14ac:dyDescent="0.3">
      <c r="C37" s="57" t="s">
        <v>191</v>
      </c>
      <c r="D37" s="58" t="s">
        <v>192</v>
      </c>
      <c r="E37" s="133">
        <f>J15*1</f>
        <v>0</v>
      </c>
      <c r="F37" s="59"/>
    </row>
    <row r="38" spans="3:9" s="12" customFormat="1" ht="14.4" x14ac:dyDescent="0.3">
      <c r="C38" s="57" t="s">
        <v>193</v>
      </c>
      <c r="D38" s="58" t="s">
        <v>194</v>
      </c>
      <c r="E38" s="133">
        <f>J17*1</f>
        <v>0</v>
      </c>
      <c r="F38" s="59"/>
      <c r="G38" s="60"/>
    </row>
    <row r="39" spans="3:9" s="12" customFormat="1" ht="14.4" x14ac:dyDescent="0.3">
      <c r="C39" s="57" t="s">
        <v>195</v>
      </c>
      <c r="D39" s="58" t="s">
        <v>196</v>
      </c>
      <c r="E39" s="133">
        <f>J19*1</f>
        <v>0</v>
      </c>
      <c r="F39" s="59"/>
      <c r="G39" s="60"/>
    </row>
    <row r="40" spans="3:9" s="12" customFormat="1" ht="14.4" x14ac:dyDescent="0.3">
      <c r="E40" s="133">
        <f>SUM(E36:E39)</f>
        <v>0</v>
      </c>
      <c r="F40" s="59"/>
    </row>
    <row r="41" spans="3:9" ht="14.4" x14ac:dyDescent="0.3">
      <c r="C41" s="23"/>
      <c r="D41" s="23"/>
      <c r="E41" s="134"/>
      <c r="F41" s="23"/>
      <c r="G41" s="12"/>
      <c r="H41" s="12"/>
      <c r="I41" s="12"/>
    </row>
    <row r="42" spans="3:9" x14ac:dyDescent="0.25">
      <c r="C42" s="23"/>
      <c r="D42" s="23"/>
      <c r="E42" s="23"/>
      <c r="F42" s="23"/>
      <c r="G42" s="12"/>
      <c r="H42" s="12"/>
      <c r="I42" s="12"/>
    </row>
    <row r="43" spans="3:9" x14ac:dyDescent="0.25">
      <c r="C43" s="25"/>
      <c r="D43" s="23"/>
      <c r="E43" s="23"/>
      <c r="F43" s="23"/>
    </row>
    <row r="44" spans="3:9" x14ac:dyDescent="0.25">
      <c r="C44" s="25"/>
      <c r="D44" s="23"/>
      <c r="E44" s="23"/>
      <c r="F44" s="23"/>
    </row>
    <row r="45" spans="3:9" x14ac:dyDescent="0.25">
      <c r="C45" s="25"/>
      <c r="D45" s="25"/>
      <c r="E45" s="25"/>
      <c r="F45" s="25"/>
    </row>
  </sheetData>
  <mergeCells count="31">
    <mergeCell ref="B20:B23"/>
    <mergeCell ref="C17:C18"/>
    <mergeCell ref="D17:D19"/>
    <mergeCell ref="B17:B19"/>
    <mergeCell ref="C14:C15"/>
    <mergeCell ref="D14:D16"/>
    <mergeCell ref="B14:B16"/>
    <mergeCell ref="C22:C23"/>
    <mergeCell ref="B11:B13"/>
    <mergeCell ref="B1:C1"/>
    <mergeCell ref="B3:F3"/>
    <mergeCell ref="E4:F4"/>
    <mergeCell ref="C8:C9"/>
    <mergeCell ref="D8:D10"/>
    <mergeCell ref="B8:B10"/>
    <mergeCell ref="B5:D5"/>
    <mergeCell ref="B6:B7"/>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rgb="FF47ABD9"/>
  </sheetPr>
  <dimension ref="A1:J70"/>
  <sheetViews>
    <sheetView showGridLines="0" showRowColHeaders="0" zoomScaleNormal="100" workbookViewId="0"/>
  </sheetViews>
  <sheetFormatPr defaultColWidth="10" defaultRowHeight="13.8" x14ac:dyDescent="0.25"/>
  <cols>
    <col min="1" max="1" width="3.6640625" style="1" customWidth="1"/>
    <col min="2" max="2" width="5.5546875" style="104" customWidth="1"/>
    <col min="3" max="3" width="100.6640625" style="1" customWidth="1"/>
    <col min="4" max="4" width="14.5546875" style="1" customWidth="1"/>
    <col min="5" max="5" width="25.44140625" style="1" customWidth="1"/>
    <col min="6" max="7" width="17" style="1" customWidth="1"/>
    <col min="8" max="8" width="12" style="1" customWidth="1"/>
    <col min="9" max="16384" width="10" style="1"/>
  </cols>
  <sheetData>
    <row r="1" spans="1:10" x14ac:dyDescent="0.25">
      <c r="A1" s="2"/>
      <c r="B1" s="370" t="s">
        <v>19</v>
      </c>
      <c r="C1" s="370"/>
    </row>
    <row r="2" spans="1:10" ht="14.4" thickBot="1" x14ac:dyDescent="0.3">
      <c r="A2" s="12" t="s">
        <v>20</v>
      </c>
    </row>
    <row r="3" spans="1:10" ht="39.75" customHeight="1" thickTop="1" thickBot="1" x14ac:dyDescent="0.3">
      <c r="B3" s="289" t="s">
        <v>197</v>
      </c>
      <c r="C3" s="371"/>
      <c r="D3" s="371"/>
      <c r="E3" s="371"/>
      <c r="F3" s="371"/>
      <c r="G3" s="372"/>
    </row>
    <row r="4" spans="1:10" ht="30" customHeight="1" thickBot="1" x14ac:dyDescent="0.3">
      <c r="B4" s="100" t="s">
        <v>198</v>
      </c>
      <c r="C4" s="101" t="s">
        <v>199</v>
      </c>
      <c r="D4" s="415" t="s">
        <v>156</v>
      </c>
      <c r="E4" s="416"/>
      <c r="F4" s="417" t="s">
        <v>157</v>
      </c>
      <c r="G4" s="418"/>
      <c r="H4" s="221"/>
    </row>
    <row r="5" spans="1:10" ht="33.75" customHeight="1" thickBot="1" x14ac:dyDescent="0.3">
      <c r="B5" s="375" t="s">
        <v>158</v>
      </c>
      <c r="C5" s="376"/>
      <c r="D5" s="376"/>
      <c r="E5" s="377"/>
      <c r="F5" s="124" t="s">
        <v>23</v>
      </c>
      <c r="G5" s="125" t="s">
        <v>24</v>
      </c>
      <c r="H5" s="5"/>
      <c r="I5" s="5"/>
      <c r="J5" s="5"/>
    </row>
    <row r="6" spans="1:10" ht="15" customHeight="1" x14ac:dyDescent="0.25">
      <c r="B6" s="378"/>
      <c r="C6" s="143" t="s">
        <v>159</v>
      </c>
      <c r="D6" s="386"/>
      <c r="E6" s="387"/>
      <c r="F6" s="351" t="str">
        <f t="shared" ref="F6" si="0">"Taip"</f>
        <v>Taip</v>
      </c>
      <c r="G6" s="352"/>
    </row>
    <row r="7" spans="1:10" ht="14.25" customHeight="1" thickBot="1" x14ac:dyDescent="0.35">
      <c r="B7" s="379"/>
      <c r="C7" s="144" t="s">
        <v>29</v>
      </c>
      <c r="D7" s="388"/>
      <c r="E7" s="389"/>
      <c r="F7" s="362" t="str">
        <f t="shared" ref="F7" si="1">"Yes"</f>
        <v>Yes</v>
      </c>
      <c r="G7" s="363"/>
    </row>
    <row r="8" spans="1:10" ht="30" customHeight="1" x14ac:dyDescent="0.25">
      <c r="B8" s="390" t="s">
        <v>200</v>
      </c>
      <c r="C8" s="359" t="s">
        <v>201</v>
      </c>
      <c r="D8" s="393"/>
      <c r="E8" s="394"/>
      <c r="F8" s="96" t="str">
        <f>IF(F51+eps&lt;AVERAGE('2. Macro'!G32:K32)+2,"Tiesa","Netiesa")</f>
        <v>Netiesa</v>
      </c>
      <c r="G8" s="62" t="str">
        <f>IF(F51+eps&lt;AVERAGE('2. Macro'!G32:K32)+2,"Tiesa","Netiesa")</f>
        <v>Netiesa</v>
      </c>
      <c r="H8" s="5"/>
      <c r="I8" s="5"/>
      <c r="J8" s="5"/>
    </row>
    <row r="9" spans="1:10" ht="19.5" customHeight="1" x14ac:dyDescent="0.25">
      <c r="B9" s="391"/>
      <c r="C9" s="360"/>
      <c r="D9" s="395"/>
      <c r="E9" s="396"/>
      <c r="F9" s="96" t="str">
        <f>CONCATENATE(FIXED(F51,1),IF(F8="Tiesa"," &lt; "," ≥ "),FIXED(AVERAGE('2. Macro'!G32:K32)+2,1))</f>
        <v>5,1 ≥ 3,9</v>
      </c>
      <c r="G9" s="118" t="str">
        <f>CONCATENATE(FIXED(G51,1),IF(G8="Tiesa"," &lt; "," ≥ "),FIXED(AVERAGE('2. Macro'!G32:K32)+2,1))</f>
        <v>6,0 ≥ 3,9</v>
      </c>
      <c r="H9" s="5"/>
      <c r="I9" s="5"/>
      <c r="J9" s="5"/>
    </row>
    <row r="10" spans="1:10" ht="34.5" customHeight="1" thickBot="1" x14ac:dyDescent="0.3">
      <c r="B10" s="392"/>
      <c r="C10" s="145" t="s">
        <v>202</v>
      </c>
      <c r="D10" s="397"/>
      <c r="E10" s="398"/>
      <c r="F10" s="147" t="str">
        <f>IF(F8="Tiesa","True","False")</f>
        <v>False</v>
      </c>
      <c r="G10" s="111" t="str">
        <f>IF(G8="Tiesa","True","False")</f>
        <v>False</v>
      </c>
      <c r="H10" s="5"/>
      <c r="I10" s="5"/>
      <c r="J10" s="5"/>
    </row>
    <row r="11" spans="1:10" ht="30" customHeight="1" thickBot="1" x14ac:dyDescent="0.3">
      <c r="B11" s="419" t="s">
        <v>203</v>
      </c>
      <c r="C11" s="399" t="s">
        <v>204</v>
      </c>
      <c r="D11" s="317" t="s">
        <v>306</v>
      </c>
      <c r="E11" s="317"/>
      <c r="F11" s="61" t="str">
        <f>IF('3. GGbudget'!F8&gt;='3. GGbudget'!E8+1,"Tiesa","Netiesa")</f>
        <v>Tiesa</v>
      </c>
      <c r="G11" s="62" t="str">
        <f>IF('3. GGbudget'!H8&gt;='3. GGbudget'!G8+1,"Tiesa","Netiesa")</f>
        <v>Netiesa</v>
      </c>
    </row>
    <row r="12" spans="1:10" ht="15" customHeight="1" thickBot="1" x14ac:dyDescent="0.3">
      <c r="B12" s="419"/>
      <c r="C12" s="400"/>
      <c r="D12" s="317"/>
      <c r="E12" s="317"/>
      <c r="F12" s="96" t="str">
        <f>CONCATENATE(FIXED('3. GGbudget'!F8-'3. GGbudget'!E8,1),IF(F11="Tiesa"," ≥ "," &lt; "),FIXED(1,1))</f>
        <v>1,2 ≥ 1,0</v>
      </c>
      <c r="G12" s="118" t="str">
        <f>CONCATENATE(FIXED('3. GGbudget'!H8-'3. GGbudget'!G8,1),IF(G11="Tiesa"," ≥ "," &lt; "),FIXED(1,1))</f>
        <v>0,8 &lt; 1,0</v>
      </c>
    </row>
    <row r="13" spans="1:10" ht="30" customHeight="1" thickBot="1" x14ac:dyDescent="0.3">
      <c r="B13" s="419"/>
      <c r="C13" s="185" t="s">
        <v>205</v>
      </c>
      <c r="D13" s="317"/>
      <c r="E13" s="317"/>
      <c r="F13" s="131" t="str">
        <f>IF(F11="Tiesa","True","False")</f>
        <v>True</v>
      </c>
      <c r="G13" s="111" t="str">
        <f>IF(G11="Tiesa","True","False")</f>
        <v>False</v>
      </c>
    </row>
    <row r="14" spans="1:10" ht="27.75" customHeight="1" thickBot="1" x14ac:dyDescent="0.3">
      <c r="B14" s="419" t="s">
        <v>206</v>
      </c>
      <c r="C14" s="399" t="s">
        <v>207</v>
      </c>
      <c r="D14" s="420"/>
      <c r="E14" s="420"/>
      <c r="F14" s="63" t="str">
        <f>IF(ROUND(AVERAGE('2. Macro'!G36:K36),1)&gt;=0.1,"Tiesa","Netiesa")</f>
        <v>Netiesa</v>
      </c>
      <c r="G14" s="64" t="str">
        <f>IF(ROUND(AVERAGE('2. Macro'!G35:K35),1)&gt;=0.1,"Tiesa","Netiesa")</f>
        <v>Netiesa</v>
      </c>
    </row>
    <row r="15" spans="1:10" ht="15" customHeight="1" thickBot="1" x14ac:dyDescent="0.3">
      <c r="B15" s="419"/>
      <c r="C15" s="400"/>
      <c r="D15" s="420"/>
      <c r="E15" s="420"/>
      <c r="F15" s="127" t="str">
        <f>CONCATENATE(FIXED(AVERAGE('2. Macro'!G36:K36),1),IF(F14="Tiesa"," ≥ "," &lt; "),FIXED(0.1,1))</f>
        <v>-1,1 &lt; 0,1</v>
      </c>
      <c r="G15" s="128" t="str">
        <f>CONCATENATE(FIXED(AVERAGE('2. Macro'!G35:K35),1),IF(G14="Tiesa"," ≥ "," &lt; "),FIXED(0.1,1))</f>
        <v>-1,1 &lt; 0,1</v>
      </c>
    </row>
    <row r="16" spans="1:10" ht="29.4" thickBot="1" x14ac:dyDescent="0.3">
      <c r="B16" s="419"/>
      <c r="C16" s="185" t="s">
        <v>208</v>
      </c>
      <c r="D16" s="420"/>
      <c r="E16" s="420"/>
      <c r="F16" s="148" t="str">
        <f>IF(F14="Tiesa","True","False")</f>
        <v>False</v>
      </c>
      <c r="G16" s="149" t="str">
        <f>IF(G14="Tiesa","True","False")</f>
        <v>False</v>
      </c>
    </row>
    <row r="17" spans="2:8" ht="51.75" customHeight="1" x14ac:dyDescent="0.25">
      <c r="B17" s="390" t="s">
        <v>209</v>
      </c>
      <c r="C17" s="399" t="s">
        <v>210</v>
      </c>
      <c r="D17" s="393" t="s">
        <v>299</v>
      </c>
      <c r="E17" s="394"/>
      <c r="F17" s="61" t="str">
        <f>IF(F57="", "Netaikoma",IF(ROUND(F58,1)&gt;=F57,"Tiesa","Netiesa"))</f>
        <v>Netaikoma</v>
      </c>
      <c r="G17" s="62" t="str">
        <f>IF(F57="", "Netaikoma",IF(ROUND(G58,1)&gt;=G57,"Tiesa","Netiesa"))</f>
        <v>Netaikoma</v>
      </c>
      <c r="H17" s="92"/>
    </row>
    <row r="18" spans="2:8" ht="18.75" customHeight="1" x14ac:dyDescent="0.25">
      <c r="B18" s="391"/>
      <c r="C18" s="400"/>
      <c r="D18" s="395"/>
      <c r="E18" s="396"/>
      <c r="F18" s="127" t="str">
        <f>IF(F17="Netaikoma","",CONCATENATE(FIXED(F58,1),IF(F14="Tiesa"," ≥ "," &lt; "),FIXED(F57,1)))</f>
        <v/>
      </c>
      <c r="G18" s="118" t="str">
        <f>IF(F17="Netaikoma","",CONCATENATE(FIXED(G58,1),IF(G14="Tiesa"," ≥ "," &lt; "),FIXED(G57,1)))</f>
        <v/>
      </c>
    </row>
    <row r="19" spans="2:8" ht="51.75" customHeight="1" thickBot="1" x14ac:dyDescent="0.3">
      <c r="B19" s="392"/>
      <c r="C19" s="145" t="s">
        <v>211</v>
      </c>
      <c r="D19" s="397"/>
      <c r="E19" s="398"/>
      <c r="F19" s="131" t="str">
        <f>IF(F17="Netaikoma","Not applicable",IF(F17="Tiesa","True","False"))</f>
        <v>Not applicable</v>
      </c>
      <c r="G19" s="111" t="str">
        <f>IF(F17="Netaikoma","Not applicable",IF(G17="Tiesa","True","False"))</f>
        <v>Not applicable</v>
      </c>
    </row>
    <row r="20" spans="2:8" ht="44.25" customHeight="1" x14ac:dyDescent="0.25">
      <c r="B20" s="390" t="s">
        <v>212</v>
      </c>
      <c r="C20" s="399" t="s">
        <v>213</v>
      </c>
      <c r="D20" s="393" t="s">
        <v>214</v>
      </c>
      <c r="E20" s="394"/>
      <c r="F20" s="61" t="str">
        <f>IF(F52+eps&lt;0,"Tiesa","Netiesa")</f>
        <v>Tiesa</v>
      </c>
      <c r="G20" s="62" t="str">
        <f>IF(G52+eps&lt;0,"Tiesa","Netiesa")</f>
        <v>Netiesa</v>
      </c>
    </row>
    <row r="21" spans="2:8" ht="20.25" customHeight="1" x14ac:dyDescent="0.25">
      <c r="B21" s="391"/>
      <c r="C21" s="400"/>
      <c r="D21" s="395"/>
      <c r="E21" s="396"/>
      <c r="F21" s="127" t="str">
        <f>CONCATENATE(FIXED(F52,1),IF(F20="Tiesa"," &lt; "," ≥ "),FIXED(0,1))</f>
        <v>-0,4 &lt; 0,0</v>
      </c>
      <c r="G21" s="118" t="str">
        <f>CONCATENATE(FIXED(G52,1),IF(G20="Tiesa"," &lt; "," ≥ "),FIXED(0,1))</f>
        <v>0,7 ≥ 0,0</v>
      </c>
    </row>
    <row r="22" spans="2:8" ht="48" customHeight="1" thickBot="1" x14ac:dyDescent="0.3">
      <c r="B22" s="392"/>
      <c r="C22" s="145" t="s">
        <v>215</v>
      </c>
      <c r="D22" s="397"/>
      <c r="E22" s="398"/>
      <c r="F22" s="131" t="str">
        <f>IF(F20="Tiesa","True","False")</f>
        <v>True</v>
      </c>
      <c r="G22" s="111" t="str">
        <f>IF(G20="Tiesa","True","False")</f>
        <v>False</v>
      </c>
    </row>
    <row r="23" spans="2:8" ht="21.75" customHeight="1" x14ac:dyDescent="0.25">
      <c r="B23" s="367" t="s">
        <v>216</v>
      </c>
      <c r="C23" s="354" t="s">
        <v>217</v>
      </c>
      <c r="D23" s="405"/>
      <c r="E23" s="406"/>
      <c r="F23" s="49" t="str">
        <f>+IF((OR(F8="Tiesa",F11="Tiesa",F14="Tiesa",F20="Tiesa")),"Taip","Ne")</f>
        <v>Taip</v>
      </c>
      <c r="G23" s="50" t="str">
        <f>+IF((OR(G8="Tiesa",G11="Tiesa",G14="Tiesa",G20="Tiesa")),"Taip","Ne")</f>
        <v>Ne</v>
      </c>
      <c r="H23" s="65"/>
    </row>
    <row r="24" spans="2:8" ht="45.75" customHeight="1" x14ac:dyDescent="0.25">
      <c r="B24" s="368"/>
      <c r="C24" s="355"/>
      <c r="D24" s="407"/>
      <c r="E24" s="408"/>
      <c r="F24" s="135" t="str">
        <f>IF(F23="Taip",CONCATENATE("Susidaro ", IF(F64=1,CONCATENATE(H64," "),""),IF(F65=1,CONCATENATE(H65," "),""),IF(F66=1,CONCATENATE(H66," "),""),IF(F67=1,CONCATENATE(H67," "),""),IF(F68=1,CONCATENATE(H68," "),""),IF(F69=1,"aplinkybė","aplinkybės")),"Išimčių nėra")</f>
        <v>Susidaro A2 A5 aplinkybės</v>
      </c>
      <c r="G24" s="97" t="str">
        <f>IF(G23="Taip",CONCATENATE("Susidaro ", IF(G64=1,CONCATENATE(I64," "),""),IF(G65=1,CONCATENATE(I65," "),""),IF(G66=1,CONCATENATE(I66," "),""),IF(G67=1,CONCATENATE(I67," "),""),IF(G68=1,CONCATENATE(I68," "),""),IF(G69=1,"aplinkybė","aplinkybės")),"Išimčių nėra")</f>
        <v>Išimčių nėra</v>
      </c>
    </row>
    <row r="25" spans="2:8" ht="18" customHeight="1" x14ac:dyDescent="0.25">
      <c r="B25" s="368"/>
      <c r="C25" s="384" t="s">
        <v>218</v>
      </c>
      <c r="D25" s="407"/>
      <c r="E25" s="408"/>
      <c r="F25" s="159" t="str">
        <f>IF(F23="Taip","Yes","No")</f>
        <v>Yes</v>
      </c>
      <c r="G25" s="160" t="str">
        <f>IF(G23="Taip","Yes","No")</f>
        <v>No</v>
      </c>
    </row>
    <row r="26" spans="2:8" ht="55.5" customHeight="1" thickBot="1" x14ac:dyDescent="0.3">
      <c r="B26" s="369"/>
      <c r="C26" s="411"/>
      <c r="D26" s="409"/>
      <c r="E26" s="410"/>
      <c r="F26" s="119" t="str">
        <f>IF(F25="Yes",CONCATENATE(IF(F69=1,"Escape clause ","Escape clauses "), IF(F64=1,CONCATENATE(H64," "),""),IF(F65=1,CONCATENATE(H65," "),""),IF(F66=1,CONCATENATE(H66," "),""),IF(F67=1,CONCATENATE(H67," "),""),IF(F68=1,CONCATENATE(H68," "),""),"emerge"),"No escape clauses emerge")</f>
        <v>Escape clauses A2 A5 emerge</v>
      </c>
      <c r="G26" s="98" t="str">
        <f>IF(G25="Yes",CONCATENATE(IF(G69=1,"Escape clause ","Escape clauses "), IF(G64=1,CONCATENATE(I64," "),""),IF(G65=1,CONCATENATE(I65," "),""),IF(G66=1,CONCATENATE(I66," "),""),IF(G67=1,CONCATENATE(I67," "),""),IF(G68=1,CONCATENATE(I68," "),""),"emerge"),"No escape clauses emerge")</f>
        <v>No escape clauses emerge</v>
      </c>
    </row>
    <row r="27" spans="2:8" ht="33.75" customHeight="1" thickBot="1" x14ac:dyDescent="0.35">
      <c r="B27" s="123" t="s">
        <v>198</v>
      </c>
      <c r="C27" s="216" t="s">
        <v>219</v>
      </c>
      <c r="D27" s="403" t="s">
        <v>220</v>
      </c>
      <c r="E27" s="404"/>
      <c r="F27" s="401" t="s">
        <v>157</v>
      </c>
      <c r="G27" s="402"/>
      <c r="H27" s="67"/>
    </row>
    <row r="28" spans="2:8" ht="32.25" customHeight="1" x14ac:dyDescent="0.25">
      <c r="B28" s="367" t="s">
        <v>221</v>
      </c>
      <c r="C28" s="399" t="s">
        <v>222</v>
      </c>
      <c r="D28" s="176"/>
      <c r="E28" s="177"/>
      <c r="F28" s="66" t="str">
        <f>IF((F23="Taip"),"",IF(AVERAGE('2. Macro'!G36:K36)+eps&lt;0,"Tiesa","Netiesa"))</f>
        <v/>
      </c>
      <c r="G28" s="157" t="str">
        <f>IF((G23="Taip"),"",IF(AVERAGE('2. Macro'!G35:K35)+eps&lt;0,"Tiesa","Netiesa"))</f>
        <v>Tiesa</v>
      </c>
    </row>
    <row r="29" spans="2:8" ht="15.75" customHeight="1" x14ac:dyDescent="0.25">
      <c r="B29" s="368"/>
      <c r="C29" s="400"/>
      <c r="D29" s="178" t="s">
        <v>223</v>
      </c>
      <c r="E29" s="179"/>
      <c r="F29" s="151" t="str">
        <f>IF((F23="Taip"),"",CONCATENATE(FIXED(AVERAGE('2. Macro'!G36:K36),1),IF(F28="Tiesa"," &lt; "," ≥ "),FIXED(0,1)))</f>
        <v/>
      </c>
      <c r="G29" s="157" t="str">
        <f>IF((G23="Taip"),"",CONCATENATE(FIXED(AVERAGE('2. Macro'!G35:K35),1),IF(G28="Tiesa"," &lt; "," ≥ "),FIXED(0,1)))</f>
        <v>-1,1 &lt; 0,0</v>
      </c>
    </row>
    <row r="30" spans="2:8" ht="18" customHeight="1" thickBot="1" x14ac:dyDescent="0.3">
      <c r="B30" s="368"/>
      <c r="C30" s="400"/>
      <c r="D30" s="180"/>
      <c r="E30" s="181"/>
      <c r="F30" s="175" t="str">
        <f>IF(F25="Yes","",IF(F28="Tiesa","True","False"))</f>
        <v/>
      </c>
      <c r="G30" s="122" t="str">
        <f>IF(G25="Yes","",IF(G28="Tiesa","True","False"))</f>
        <v>True</v>
      </c>
    </row>
    <row r="31" spans="2:8" ht="24" customHeight="1" x14ac:dyDescent="0.25">
      <c r="B31" s="368"/>
      <c r="C31" s="400"/>
      <c r="D31" s="182"/>
      <c r="E31" s="179"/>
      <c r="F31" s="196" t="str">
        <f>IF(OR(F23="Taip",F28="Netiesa",F6="Taip"),"Netaikoma", IF(F53&lt;=(F54)*(0.5*F56),"Tenkinama","Netenkinama"))</f>
        <v>Netaikoma</v>
      </c>
      <c r="G31" s="157" t="str">
        <f>IF(OR(G23="Taip",G28="Netiesa",F6="Taip"),"Netaikoma", IF(G53&lt;=(G54)*(0.5*G56),"Tenkinama","Netenkinama"))</f>
        <v>Netaikoma</v>
      </c>
    </row>
    <row r="32" spans="2:8" ht="69" customHeight="1" x14ac:dyDescent="0.25">
      <c r="B32" s="368"/>
      <c r="C32" s="400"/>
      <c r="D32" s="182"/>
      <c r="E32" s="179"/>
      <c r="F32" s="151" t="str">
        <f>IF(F6="Taip", "Paskelbtos išskirtinės aplinkybės",IF(F23="Taip",IF(F69=1,"Susidarė viena iš KĮ numatytų netaikymo aplinkybių","Susidarė KĮ numatytos netaikymo aplinkybės"),CONCATENATE(ROUND(($G$39-F41)/($G$40-F42),3),IF(F31="Tiesa"," ≤ "," &gt; "), ROUND(0.5*F56,3))))</f>
        <v>Paskelbtos išskirtinės aplinkybės</v>
      </c>
      <c r="G32" s="195" t="str">
        <f>IF(F6="Taip", "Paskelbtos išskirtinės aplinkybės",IF(G23="Taip",IF(G69=1,"Susidarė viena iš KĮ numatytų netaikymo aplinkybių","Susidarė KĮ numatytos netaikymo aplinkybės"),CONCATENATE(ROUND(G55,3),IF(G31="Tenkinama"," ≤ "," &gt; "), ROUND(0.5*G56,3))))</f>
        <v>Paskelbtos išskirtinės aplinkybės</v>
      </c>
    </row>
    <row r="33" spans="2:8" ht="21" customHeight="1" x14ac:dyDescent="0.25">
      <c r="B33" s="368"/>
      <c r="C33" s="412" t="s">
        <v>224</v>
      </c>
      <c r="D33" s="182"/>
      <c r="E33" s="179"/>
      <c r="F33" s="153" t="str">
        <f>IF(F31="Netaikoma","Not applied",IF(F31="Tiesa","True","False"))</f>
        <v>Not applied</v>
      </c>
      <c r="G33" s="174" t="str">
        <f>IF(G31="Netaikoma","Not applied",IF(G31="Tenkinama","True","False"))</f>
        <v>Not applied</v>
      </c>
    </row>
    <row r="34" spans="2:8" ht="70.5" customHeight="1" thickBot="1" x14ac:dyDescent="0.3">
      <c r="B34" s="369"/>
      <c r="C34" s="413"/>
      <c r="D34" s="180"/>
      <c r="E34" s="181"/>
      <c r="F34" s="183" t="str">
        <f>IF(F7="Yes","Exceptional Circumstances",IF(F25="Yes",IF(F69=1,"CL escape clause emerged","CL escape clauses emerged"),""))</f>
        <v>Exceptional Circumstances</v>
      </c>
      <c r="G34" s="184" t="str">
        <f>IF(F7="Yes","Exceptional Circumstances",IF(G25="Yes",IF(G69=1,"CL escape clause emerged","CL escape clauses emerged"),""))</f>
        <v>Exceptional Circumstances</v>
      </c>
    </row>
    <row r="35" spans="2:8" ht="28.5" customHeight="1" thickTop="1" x14ac:dyDescent="0.25">
      <c r="C35" s="414" t="s">
        <v>225</v>
      </c>
      <c r="D35" s="414"/>
      <c r="E35" s="414"/>
      <c r="F35" s="109"/>
      <c r="G35" s="109"/>
    </row>
    <row r="36" spans="2:8" ht="28.5" customHeight="1" x14ac:dyDescent="0.25">
      <c r="C36" s="366" t="s">
        <v>294</v>
      </c>
      <c r="D36" s="366"/>
      <c r="E36" s="366"/>
      <c r="F36" s="222"/>
      <c r="G36" s="222"/>
    </row>
    <row r="37" spans="2:8" ht="18.75" customHeight="1" thickBot="1" x14ac:dyDescent="0.3">
      <c r="C37" s="52" t="s">
        <v>226</v>
      </c>
      <c r="D37" s="223"/>
      <c r="E37" s="223"/>
      <c r="F37" s="222"/>
      <c r="G37" s="222"/>
    </row>
    <row r="38" spans="2:8" ht="15" customHeight="1" thickBot="1" x14ac:dyDescent="0.3">
      <c r="C38" s="102" t="s">
        <v>227</v>
      </c>
      <c r="D38" s="110"/>
      <c r="E38" s="92"/>
      <c r="F38" s="349">
        <v>2021</v>
      </c>
      <c r="G38" s="349"/>
    </row>
    <row r="39" spans="2:8" ht="15" thickBot="1" x14ac:dyDescent="0.35">
      <c r="C39" s="102"/>
      <c r="D39" s="108"/>
      <c r="E39" s="53" t="s">
        <v>228</v>
      </c>
      <c r="F39" s="267">
        <f>'3. GGbudget'!F21</f>
        <v>21460.767</v>
      </c>
      <c r="G39" s="69">
        <f>'3. GGbudget'!H21</f>
        <v>21460.767</v>
      </c>
      <c r="H39" s="272"/>
    </row>
    <row r="40" spans="2:8" ht="15" customHeight="1" thickBot="1" x14ac:dyDescent="0.35">
      <c r="C40" s="108"/>
      <c r="D40" s="108"/>
      <c r="E40" s="53" t="s">
        <v>229</v>
      </c>
      <c r="F40" s="267">
        <f>'3. GGbudget'!E21</f>
        <v>21155.82</v>
      </c>
      <c r="G40" s="69">
        <f>'3. GGbudget'!G21</f>
        <v>21155.82</v>
      </c>
      <c r="H40" s="272"/>
    </row>
    <row r="41" spans="2:8" ht="14.4" thickBot="1" x14ac:dyDescent="0.3">
      <c r="C41" s="108"/>
      <c r="D41" s="108"/>
      <c r="E41" s="53" t="s">
        <v>230</v>
      </c>
      <c r="F41" s="431">
        <v>3321.6</v>
      </c>
      <c r="G41" s="431"/>
      <c r="H41" s="105"/>
    </row>
    <row r="42" spans="2:8" ht="14.4" thickBot="1" x14ac:dyDescent="0.3">
      <c r="C42" s="108"/>
      <c r="D42" s="108"/>
      <c r="E42" s="53" t="s">
        <v>231</v>
      </c>
      <c r="F42" s="431">
        <v>3180.3</v>
      </c>
      <c r="G42" s="431"/>
      <c r="H42" s="105"/>
    </row>
    <row r="43" spans="2:8" ht="14.4" thickBot="1" x14ac:dyDescent="0.3">
      <c r="C43" s="52"/>
      <c r="D43" s="54"/>
      <c r="E43" s="53" t="s">
        <v>232</v>
      </c>
      <c r="F43" s="68">
        <f>'3. GGbudget'!F15</f>
        <v>23853.5</v>
      </c>
      <c r="G43" s="69">
        <f>'3. GGbudget'!H15</f>
        <v>23792.5</v>
      </c>
      <c r="H43" s="105"/>
    </row>
    <row r="44" spans="2:8" ht="14.4" thickBot="1" x14ac:dyDescent="0.3">
      <c r="C44" s="52"/>
      <c r="D44" s="54"/>
      <c r="E44" s="53" t="s">
        <v>233</v>
      </c>
      <c r="F44" s="68">
        <f>'3. GGbudget'!E15</f>
        <v>0</v>
      </c>
      <c r="G44" s="69">
        <f>'3. GGbudget'!G15</f>
        <v>22416.2</v>
      </c>
      <c r="H44" s="105"/>
    </row>
    <row r="45" spans="2:8" ht="14.4" thickBot="1" x14ac:dyDescent="0.3">
      <c r="C45" s="52"/>
      <c r="D45" s="54"/>
      <c r="E45" s="53" t="s">
        <v>234</v>
      </c>
      <c r="F45" s="215">
        <f>'2. Macro'!K36-'2. Macro'!J36</f>
        <v>-7.7686438527074362</v>
      </c>
      <c r="G45" s="71">
        <f>'2. Macro'!K35-'2. Macro'!J35</f>
        <v>-7.683055406801703</v>
      </c>
    </row>
    <row r="46" spans="2:8" ht="14.4" thickBot="1" x14ac:dyDescent="0.3">
      <c r="C46" s="70"/>
      <c r="D46" s="54"/>
      <c r="E46" s="53" t="s">
        <v>235</v>
      </c>
      <c r="F46" s="215">
        <f>('2. Macro'!K36-'2. Macro'!J36)-('2. Macro'!J36-'2. Macro'!I36)</f>
        <v>-7.7052728623136231</v>
      </c>
      <c r="G46" s="71">
        <f>('2. Macro'!K35-'2. Macro'!J35)-('2. Macro'!J35-'2. Macro'!I35)</f>
        <v>-7.6194665075874903</v>
      </c>
    </row>
    <row r="47" spans="2:8" ht="14.4" thickBot="1" x14ac:dyDescent="0.3">
      <c r="C47" s="72" t="s">
        <v>298</v>
      </c>
      <c r="D47" s="54"/>
      <c r="E47" s="72" t="s">
        <v>236</v>
      </c>
      <c r="F47" s="427">
        <v>1.0219252141341466</v>
      </c>
      <c r="G47" s="428"/>
    </row>
    <row r="48" spans="2:8" ht="15" customHeight="1" thickBot="1" x14ac:dyDescent="0.3">
      <c r="C48" s="72" t="s">
        <v>297</v>
      </c>
      <c r="D48" s="54"/>
      <c r="E48" s="72" t="s">
        <v>237</v>
      </c>
      <c r="F48" s="427">
        <v>1.0250114064955134</v>
      </c>
      <c r="G48" s="428"/>
    </row>
    <row r="49" spans="2:9" ht="15" customHeight="1" thickBot="1" x14ac:dyDescent="0.3">
      <c r="C49" s="72" t="s">
        <v>296</v>
      </c>
      <c r="D49" s="54"/>
      <c r="E49" s="72" t="s">
        <v>238</v>
      </c>
      <c r="F49" s="429">
        <v>1.024</v>
      </c>
      <c r="G49" s="430"/>
    </row>
    <row r="50" spans="2:9" ht="15" customHeight="1" thickBot="1" x14ac:dyDescent="0.3">
      <c r="C50" s="72" t="s">
        <v>295</v>
      </c>
      <c r="D50" s="54"/>
      <c r="E50" s="72" t="s">
        <v>239</v>
      </c>
      <c r="F50" s="429">
        <v>1.020983832129343</v>
      </c>
      <c r="G50" s="430"/>
    </row>
    <row r="51" spans="2:9" ht="15" customHeight="1" thickBot="1" x14ac:dyDescent="0.35">
      <c r="C51" s="73" t="s">
        <v>305</v>
      </c>
      <c r="D51" s="54"/>
      <c r="E51" s="72" t="s">
        <v>240</v>
      </c>
      <c r="F51" s="215">
        <v>5.0999999999999996</v>
      </c>
      <c r="G51" s="71">
        <v>6.0081200030428699</v>
      </c>
      <c r="H51" s="266"/>
    </row>
    <row r="52" spans="2:9" ht="15" customHeight="1" thickBot="1" x14ac:dyDescent="0.3">
      <c r="D52" s="54"/>
      <c r="E52" s="53" t="s">
        <v>241</v>
      </c>
      <c r="F52" s="215">
        <f>'2. Macro'!M20</f>
        <v>-0.41711127393317948</v>
      </c>
      <c r="G52" s="71">
        <f>'2. Macro'!M19</f>
        <v>0.65901660269993556</v>
      </c>
    </row>
    <row r="53" spans="2:9" ht="15" customHeight="1" thickBot="1" x14ac:dyDescent="0.35">
      <c r="D53" s="53"/>
      <c r="E53" s="53" t="s">
        <v>242</v>
      </c>
      <c r="F53" s="74">
        <v>18384</v>
      </c>
      <c r="G53" s="74">
        <f>+G39-F41</f>
        <v>18139.167000000001</v>
      </c>
      <c r="H53" s="272"/>
      <c r="I53" s="266"/>
    </row>
    <row r="54" spans="2:9" ht="15" customHeight="1" thickBot="1" x14ac:dyDescent="0.35">
      <c r="D54" s="53"/>
      <c r="E54" s="53" t="s">
        <v>243</v>
      </c>
      <c r="F54" s="74">
        <v>17602</v>
      </c>
      <c r="G54" s="74">
        <f>+G40-$F$42</f>
        <v>17975.52</v>
      </c>
      <c r="H54" s="105"/>
      <c r="I54" s="266"/>
    </row>
    <row r="55" spans="2:9" ht="15" customHeight="1" thickBot="1" x14ac:dyDescent="0.3">
      <c r="D55" s="53"/>
      <c r="E55" s="53" t="s">
        <v>244</v>
      </c>
      <c r="F55" s="74">
        <f>+(F53/F54-1)*100</f>
        <v>4.4426769685262935</v>
      </c>
      <c r="G55" s="74">
        <f>+(G53/G54-1)*100</f>
        <v>0.91038812785388945</v>
      </c>
      <c r="H55" s="105"/>
      <c r="I55" s="269"/>
    </row>
    <row r="56" spans="2:9" s="12" customFormat="1" ht="16.8" thickBot="1" x14ac:dyDescent="0.4">
      <c r="B56" s="104"/>
      <c r="C56" s="1"/>
      <c r="D56" s="53"/>
      <c r="E56" s="53" t="s">
        <v>245</v>
      </c>
      <c r="F56" s="126">
        <f>(POWER('2. Macro'!O16/'2. Macro'!E16,0.1)*POWER(PRODUCT(F47:F50),0.25)-1)*100</f>
        <v>5.5798443949628185</v>
      </c>
      <c r="G56" s="74">
        <f>(POWER('2. Macro'!O15/'2. Macro'!E15,0.1)*POWER(PRODUCT(F47:F50),0.25)-1)*100</f>
        <v>5.4715063809168241</v>
      </c>
      <c r="H56" s="105"/>
      <c r="I56" s="266"/>
    </row>
    <row r="57" spans="2:9" s="12" customFormat="1" ht="14.4" hidden="1" thickBot="1" x14ac:dyDescent="0.3">
      <c r="B57" s="104"/>
      <c r="C57" s="1"/>
      <c r="D57" s="53"/>
      <c r="E57" s="53" t="s">
        <v>300</v>
      </c>
      <c r="F57" s="126"/>
      <c r="G57" s="74"/>
      <c r="H57" s="269"/>
      <c r="I57" s="269"/>
    </row>
    <row r="58" spans="2:9" s="12" customFormat="1" ht="14.4" hidden="1" thickBot="1" x14ac:dyDescent="0.3">
      <c r="B58" s="104"/>
      <c r="C58" s="1"/>
      <c r="D58" s="53"/>
      <c r="E58" s="53" t="s">
        <v>301</v>
      </c>
      <c r="F58" s="126"/>
      <c r="G58" s="74"/>
      <c r="H58" s="269"/>
    </row>
    <row r="59" spans="2:9" s="12" customFormat="1" x14ac:dyDescent="0.25">
      <c r="B59" s="104"/>
      <c r="C59" s="1"/>
      <c r="D59" s="53"/>
      <c r="E59" s="53"/>
      <c r="F59" s="78"/>
      <c r="G59" s="78"/>
    </row>
    <row r="60" spans="2:9" s="12" customFormat="1" ht="15" thickBot="1" x14ac:dyDescent="0.35">
      <c r="B60" s="104"/>
      <c r="C60" s="1"/>
      <c r="D60" s="10"/>
      <c r="E60" s="10" t="s">
        <v>47</v>
      </c>
      <c r="F60" s="10"/>
      <c r="G60" s="5"/>
      <c r="H60" s="205" t="s">
        <v>48</v>
      </c>
    </row>
    <row r="61" spans="2:9" s="12" customFormat="1" ht="15" thickBot="1" x14ac:dyDescent="0.35">
      <c r="B61" s="104"/>
      <c r="C61" s="1"/>
      <c r="D61" s="10"/>
      <c r="E61" s="10" t="s">
        <v>49</v>
      </c>
      <c r="F61" s="421" t="s">
        <v>23</v>
      </c>
      <c r="G61" s="422"/>
      <c r="H61" s="205" t="s">
        <v>50</v>
      </c>
    </row>
    <row r="62" spans="2:9" s="12" customFormat="1" ht="15" thickBot="1" x14ac:dyDescent="0.35">
      <c r="B62" s="104"/>
      <c r="C62" s="1"/>
      <c r="D62" s="10"/>
      <c r="E62" s="10" t="s">
        <v>51</v>
      </c>
      <c r="F62" s="423" t="s">
        <v>24</v>
      </c>
      <c r="G62" s="424"/>
      <c r="H62" s="231" t="s">
        <v>52</v>
      </c>
    </row>
    <row r="63" spans="2:9" s="12" customFormat="1" ht="15" thickBot="1" x14ac:dyDescent="0.35">
      <c r="B63" s="104"/>
      <c r="C63" s="1"/>
      <c r="D63" s="10"/>
      <c r="E63" s="10" t="s">
        <v>246</v>
      </c>
      <c r="F63" s="425" t="s">
        <v>247</v>
      </c>
      <c r="G63" s="426"/>
      <c r="H63" s="205" t="s">
        <v>248</v>
      </c>
    </row>
    <row r="64" spans="2:9" s="12" customFormat="1" x14ac:dyDescent="0.25">
      <c r="B64" s="60"/>
      <c r="D64" s="224" t="s">
        <v>249</v>
      </c>
      <c r="E64" s="224"/>
      <c r="F64" s="225">
        <f>IF(F8="Tiesa",1,0)</f>
        <v>0</v>
      </c>
      <c r="G64" s="225">
        <f>IF(G8="Tiesa",1,0)</f>
        <v>0</v>
      </c>
      <c r="H64" s="224" t="str">
        <f>IF(F64=1,$D64,"")</f>
        <v/>
      </c>
      <c r="I64" s="224" t="str">
        <f>IF(G64=1,$D64,"")</f>
        <v/>
      </c>
    </row>
    <row r="65" spans="2:9" x14ac:dyDescent="0.25">
      <c r="B65" s="60"/>
      <c r="C65" s="12"/>
      <c r="D65" s="224" t="s">
        <v>250</v>
      </c>
      <c r="E65" s="224"/>
      <c r="F65" s="225">
        <f>IF(F11="Tiesa",1,0)</f>
        <v>1</v>
      </c>
      <c r="G65" s="225">
        <f>IF(G11="Tiesa",1,0)</f>
        <v>0</v>
      </c>
      <c r="H65" s="224" t="str">
        <f t="shared" ref="H65:I68" si="2">IF(F65=1,$D65,"")</f>
        <v>A2</v>
      </c>
      <c r="I65" s="224" t="str">
        <f t="shared" si="2"/>
        <v/>
      </c>
    </row>
    <row r="66" spans="2:9" x14ac:dyDescent="0.25">
      <c r="C66" s="23"/>
      <c r="D66" s="224" t="s">
        <v>251</v>
      </c>
      <c r="E66" s="224"/>
      <c r="F66" s="225">
        <f>IF(F14="Tiesa",1,0)</f>
        <v>0</v>
      </c>
      <c r="G66" s="225">
        <f>IF(G14="Tiesa",1,0)</f>
        <v>0</v>
      </c>
      <c r="H66" s="224" t="str">
        <f>IF(F66=1,$D66,"")</f>
        <v/>
      </c>
      <c r="I66" s="224" t="str">
        <f t="shared" si="2"/>
        <v/>
      </c>
    </row>
    <row r="67" spans="2:9" x14ac:dyDescent="0.25">
      <c r="D67" s="224" t="s">
        <v>252</v>
      </c>
      <c r="E67" s="224"/>
      <c r="F67" s="225">
        <f>IF(F17="Tiesa",1,0)</f>
        <v>0</v>
      </c>
      <c r="G67" s="225">
        <f>IF(G17="Tiesa",1,0)</f>
        <v>0</v>
      </c>
      <c r="H67" s="224" t="str">
        <f t="shared" si="2"/>
        <v/>
      </c>
      <c r="I67" s="224" t="str">
        <f t="shared" si="2"/>
        <v/>
      </c>
    </row>
    <row r="68" spans="2:9" x14ac:dyDescent="0.25">
      <c r="D68" s="224" t="s">
        <v>253</v>
      </c>
      <c r="E68" s="224"/>
      <c r="F68" s="225">
        <f>IF(F20="Tiesa",1,0)</f>
        <v>1</v>
      </c>
      <c r="G68" s="225">
        <f>IF(G20="Tiesa",1,0)</f>
        <v>0</v>
      </c>
      <c r="H68" s="224" t="str">
        <f t="shared" si="2"/>
        <v>A5</v>
      </c>
      <c r="I68" s="224" t="str">
        <f>IF(G68=1,$D68,"")</f>
        <v/>
      </c>
    </row>
    <row r="69" spans="2:9" x14ac:dyDescent="0.25">
      <c r="D69" s="173"/>
      <c r="E69" s="173"/>
      <c r="F69" s="225">
        <f>SUM(F64:F68)</f>
        <v>2</v>
      </c>
      <c r="G69" s="225">
        <f>SUM(G64:G68)</f>
        <v>0</v>
      </c>
      <c r="H69" s="173"/>
      <c r="I69" s="173"/>
    </row>
    <row r="70" spans="2:9" x14ac:dyDescent="0.25">
      <c r="D70" s="173"/>
      <c r="E70" s="173"/>
      <c r="F70" s="173"/>
      <c r="G70" s="173"/>
      <c r="H70" s="173"/>
      <c r="I70" s="173"/>
    </row>
  </sheetData>
  <mergeCells count="45">
    <mergeCell ref="F61:G61"/>
    <mergeCell ref="F62:G62"/>
    <mergeCell ref="F63:G63"/>
    <mergeCell ref="F38:G38"/>
    <mergeCell ref="F48:G48"/>
    <mergeCell ref="F49:G49"/>
    <mergeCell ref="F50:G50"/>
    <mergeCell ref="F47:G47"/>
    <mergeCell ref="F41:G41"/>
    <mergeCell ref="F42:G42"/>
    <mergeCell ref="C36:E36"/>
    <mergeCell ref="C8:C9"/>
    <mergeCell ref="C35:E35"/>
    <mergeCell ref="B1:C1"/>
    <mergeCell ref="B3:G3"/>
    <mergeCell ref="D4:E4"/>
    <mergeCell ref="F4:G4"/>
    <mergeCell ref="D8:E10"/>
    <mergeCell ref="B8:B10"/>
    <mergeCell ref="B11:B13"/>
    <mergeCell ref="D11:E13"/>
    <mergeCell ref="B14:B16"/>
    <mergeCell ref="D14:E16"/>
    <mergeCell ref="C11:C12"/>
    <mergeCell ref="C14:C15"/>
    <mergeCell ref="B5:E5"/>
    <mergeCell ref="C28:C32"/>
    <mergeCell ref="B23:B26"/>
    <mergeCell ref="D23:E26"/>
    <mergeCell ref="C23:C24"/>
    <mergeCell ref="C25:C26"/>
    <mergeCell ref="B28:B34"/>
    <mergeCell ref="C33:C34"/>
    <mergeCell ref="C20:C21"/>
    <mergeCell ref="D20:E22"/>
    <mergeCell ref="B20:B22"/>
    <mergeCell ref="C17:C18"/>
    <mergeCell ref="F27:G27"/>
    <mergeCell ref="D27:E27"/>
    <mergeCell ref="B6:B7"/>
    <mergeCell ref="D6:E7"/>
    <mergeCell ref="F6:G6"/>
    <mergeCell ref="F7:G7"/>
    <mergeCell ref="B17:B19"/>
    <mergeCell ref="D17:E19"/>
  </mergeCells>
  <hyperlinks>
    <hyperlink ref="B1" location="Content!A1" display="↖ atgal į turinį" xr:uid="{157D154F-6AF6-4176-8CAF-1EEC7F40D7AF}"/>
    <hyperlink ref="B1:C1" location="Content!A1" display="↖ atgal į turinį " xr:uid="{C1F28AC6-E1C5-42D9-974A-4CDFCB905D96}"/>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0"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17"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G11:G12</xm:sqref>
        </x14:conditionalFormatting>
        <x14:conditionalFormatting xmlns:xm="http://schemas.microsoft.com/office/excel/2006/main">
          <x14:cfRule type="iconSet" priority="16"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G14:G15</xm:sqref>
        </x14:conditionalFormatting>
        <x14:conditionalFormatting xmlns:xm="http://schemas.microsoft.com/office/excel/2006/main">
          <x14:cfRule type="iconSet" priority="15"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G20</xm:sqref>
        </x14:conditionalFormatting>
        <x14:conditionalFormatting xmlns:xm="http://schemas.microsoft.com/office/excel/2006/main">
          <x14:cfRule type="iconSet" priority="14"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18"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G13</xm:sqref>
        </x14:conditionalFormatting>
        <x14:conditionalFormatting xmlns:xm="http://schemas.microsoft.com/office/excel/2006/main">
          <x14:cfRule type="iconSet" priority="19"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F14:F15</xm:sqref>
        </x14:conditionalFormatting>
        <x14:conditionalFormatting xmlns:xm="http://schemas.microsoft.com/office/excel/2006/main">
          <x14:cfRule type="iconSet" priority="20"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F20</xm:sqref>
        </x14:conditionalFormatting>
        <x14:conditionalFormatting xmlns:xm="http://schemas.microsoft.com/office/excel/2006/main">
          <x14:cfRule type="iconSet" priority="21"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F9:F10</xm:sqref>
        </x14:conditionalFormatting>
        <x14:conditionalFormatting xmlns:xm="http://schemas.microsoft.com/office/excel/2006/main">
          <x14:cfRule type="iconSet" priority="22"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F11:F13</xm:sqref>
        </x14:conditionalFormatting>
        <x14:conditionalFormatting xmlns:xm="http://schemas.microsoft.com/office/excel/2006/main">
          <x14:cfRule type="iconSet" priority="23"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F22:G22 G21</xm:sqref>
        </x14:conditionalFormatting>
        <x14:conditionalFormatting xmlns:xm="http://schemas.microsoft.com/office/excel/2006/main">
          <x14:cfRule type="iconSet" priority="11"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G8</xm:sqref>
        </x14:conditionalFormatting>
        <x14:conditionalFormatting xmlns:xm="http://schemas.microsoft.com/office/excel/2006/main">
          <x14:cfRule type="iconSet" priority="7"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F21</xm:sqref>
        </x14:conditionalFormatting>
        <x14:conditionalFormatting xmlns:xm="http://schemas.microsoft.com/office/excel/2006/main">
          <x14:cfRule type="iconSet" priority="4" id="{FF51D037-EB06-4BF3-8B74-3B0ADEDDC26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5" id="{8FA66A3C-9B93-4766-8B10-4D7BCF482E2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F19</xm:sqref>
        </x14:conditionalFormatting>
        <x14:conditionalFormatting xmlns:xm="http://schemas.microsoft.com/office/excel/2006/main">
          <x14:cfRule type="iconSet" priority="3" id="{1A250BF7-AA6E-46D9-B5C4-D125B630174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F18</xm:sqref>
        </x14:conditionalFormatting>
        <x14:conditionalFormatting xmlns:xm="http://schemas.microsoft.com/office/excel/2006/main">
          <x14:cfRule type="iconSet" priority="1" id="{D6528875-3EA9-4A09-BDCE-C3A750504A2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G17</xm:sqref>
        </x14:conditionalFormatting>
        <x14:conditionalFormatting xmlns:xm="http://schemas.microsoft.com/office/excel/2006/main">
          <x14:cfRule type="iconSet" priority="2" id="{DA4118A7-23A0-4047-9FF0-1589B4EACD8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G18:G19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rgb="FF47ABD9"/>
  </sheetPr>
  <dimension ref="A1:H38"/>
  <sheetViews>
    <sheetView showGridLines="0" showRowColHeaders="0" zoomScaleNormal="100" workbookViewId="0"/>
  </sheetViews>
  <sheetFormatPr defaultColWidth="10" defaultRowHeight="13.8" x14ac:dyDescent="0.25"/>
  <cols>
    <col min="1" max="1" width="3.6640625" style="1" customWidth="1"/>
    <col min="2" max="2" width="4.44140625" style="1" customWidth="1"/>
    <col min="3" max="3" width="102" style="1" customWidth="1"/>
    <col min="4" max="4" width="28.33203125" style="1" customWidth="1"/>
    <col min="5" max="5" width="21.109375" style="1" customWidth="1"/>
    <col min="6" max="6" width="21.5546875" style="1" customWidth="1"/>
    <col min="7" max="16384" width="10" style="1"/>
  </cols>
  <sheetData>
    <row r="1" spans="1:8" x14ac:dyDescent="0.25">
      <c r="B1" s="370" t="s">
        <v>19</v>
      </c>
      <c r="C1" s="370"/>
      <c r="D1" s="2"/>
    </row>
    <row r="2" spans="1:8" ht="14.4" thickBot="1" x14ac:dyDescent="0.3">
      <c r="A2" s="12" t="s">
        <v>20</v>
      </c>
    </row>
    <row r="3" spans="1:8" ht="38.25" customHeight="1" thickTop="1" thickBot="1" x14ac:dyDescent="0.3">
      <c r="B3" s="289" t="s">
        <v>254</v>
      </c>
      <c r="C3" s="371"/>
      <c r="D3" s="371"/>
      <c r="E3" s="371"/>
      <c r="F3" s="372"/>
    </row>
    <row r="4" spans="1:8" ht="28.8" thickBot="1" x14ac:dyDescent="0.35">
      <c r="B4" s="100" t="s">
        <v>198</v>
      </c>
      <c r="C4" s="216" t="s">
        <v>219</v>
      </c>
      <c r="D4" s="216" t="s">
        <v>156</v>
      </c>
      <c r="E4" s="401" t="s">
        <v>157</v>
      </c>
      <c r="F4" s="402"/>
    </row>
    <row r="5" spans="1:8" ht="30" customHeight="1" thickBot="1" x14ac:dyDescent="0.3">
      <c r="B5" s="375" t="s">
        <v>158</v>
      </c>
      <c r="C5" s="376"/>
      <c r="D5" s="377"/>
      <c r="E5" s="124" t="s">
        <v>23</v>
      </c>
      <c r="F5" s="125" t="s">
        <v>24</v>
      </c>
    </row>
    <row r="6" spans="1:8" ht="104.25" customHeight="1" x14ac:dyDescent="0.25">
      <c r="B6" s="212" t="s">
        <v>255</v>
      </c>
      <c r="C6" s="186" t="s">
        <v>256</v>
      </c>
      <c r="D6" s="432" t="s">
        <v>257</v>
      </c>
      <c r="E6" s="150" t="s">
        <v>303</v>
      </c>
      <c r="F6" s="152" t="s">
        <v>303</v>
      </c>
    </row>
    <row r="7" spans="1:8" ht="61.5" customHeight="1" thickBot="1" x14ac:dyDescent="0.3">
      <c r="B7" s="213"/>
      <c r="C7" s="187" t="s">
        <v>258</v>
      </c>
      <c r="D7" s="433"/>
      <c r="E7" s="86" t="s">
        <v>304</v>
      </c>
      <c r="F7" s="121" t="s">
        <v>304</v>
      </c>
      <c r="H7" s="44"/>
    </row>
    <row r="8" spans="1:8" ht="34.5" customHeight="1" thickBot="1" x14ac:dyDescent="0.3">
      <c r="B8" s="214"/>
      <c r="C8" s="435" t="s">
        <v>259</v>
      </c>
      <c r="D8" s="436"/>
      <c r="E8" s="75"/>
      <c r="F8" s="120"/>
    </row>
    <row r="9" spans="1:8" ht="29.25" customHeight="1" x14ac:dyDescent="0.25">
      <c r="B9" s="367" t="s">
        <v>260</v>
      </c>
      <c r="C9" s="444" t="s">
        <v>285</v>
      </c>
      <c r="D9" s="432" t="s">
        <v>261</v>
      </c>
      <c r="E9" s="61" t="str">
        <f>IF(E32&gt;=0,"Tiesa","Netiesa")</f>
        <v>Tiesa</v>
      </c>
      <c r="F9" s="62" t="str">
        <f>IF(F32+eps&gt;=0,"Tiesa","Netiesa")</f>
        <v>Tiesa</v>
      </c>
    </row>
    <row r="10" spans="1:8" ht="29.25" customHeight="1" x14ac:dyDescent="0.25">
      <c r="B10" s="368"/>
      <c r="C10" s="445"/>
      <c r="D10" s="434"/>
      <c r="E10" s="151" t="str">
        <f>CONCATENATE(FIXED(E32,1),IF(E32&gt;= 0," ≥ "," &lt; "),FIXED(0,1))</f>
        <v>0,0 ≥ 0,0</v>
      </c>
      <c r="F10" s="99" t="str">
        <f>CONCATENATE(FIXED(F32,1),IF(F32=eps&gt;= 0," ≥ "," &lt; "),FIXED(0,1))</f>
        <v>0,0 ≥ 0,0</v>
      </c>
    </row>
    <row r="11" spans="1:8" ht="35.25" customHeight="1" thickBot="1" x14ac:dyDescent="0.3">
      <c r="B11" s="368"/>
      <c r="C11" s="188" t="s">
        <v>262</v>
      </c>
      <c r="D11" s="433"/>
      <c r="E11" s="86" t="str">
        <f>IF(E9="Tiesa","True","False")</f>
        <v>True</v>
      </c>
      <c r="F11" s="111" t="str">
        <f>IF(F9="Tiesa","True","False")</f>
        <v>True</v>
      </c>
    </row>
    <row r="12" spans="1:8" ht="21.75" customHeight="1" x14ac:dyDescent="0.25">
      <c r="B12" s="368"/>
      <c r="C12" s="437" t="s">
        <v>263</v>
      </c>
      <c r="D12" s="437"/>
      <c r="E12" s="113" t="str">
        <f>IF(E9="Netiesa","Netenkinama","Tenkinama")</f>
        <v>Tenkinama</v>
      </c>
      <c r="F12" s="114" t="str">
        <f>IF(F9="Netiesa","Netenkinama","Tenkinama")</f>
        <v>Tenkinama</v>
      </c>
    </row>
    <row r="13" spans="1:8" ht="21.75" customHeight="1" thickBot="1" x14ac:dyDescent="0.3">
      <c r="B13" s="369"/>
      <c r="C13" s="411" t="s">
        <v>264</v>
      </c>
      <c r="D13" s="411"/>
      <c r="E13" s="112" t="str">
        <f>IF(E12="Tenkinama","Valid","Invalid ")</f>
        <v>Valid</v>
      </c>
      <c r="F13" s="115" t="str">
        <f>IF(F12="Tenkinama","Valid","Invalid ")</f>
        <v>Valid</v>
      </c>
    </row>
    <row r="14" spans="1:8" ht="17.399999999999999" customHeight="1" x14ac:dyDescent="0.25">
      <c r="B14" s="367" t="s">
        <v>265</v>
      </c>
      <c r="C14" s="399" t="s">
        <v>266</v>
      </c>
      <c r="D14" s="446" t="s">
        <v>267</v>
      </c>
      <c r="E14" s="61" t="str">
        <f>IF(E29+eps&lt;0, "Tiesa","Netiesa")</f>
        <v>Tiesa</v>
      </c>
      <c r="F14" s="62" t="str">
        <f>IF(F29+eps&lt;0,"Tiesa","Netiesa")</f>
        <v>Netiesa</v>
      </c>
    </row>
    <row r="15" spans="1:8" ht="38.25" customHeight="1" x14ac:dyDescent="0.25">
      <c r="B15" s="368"/>
      <c r="C15" s="400"/>
      <c r="D15" s="447"/>
      <c r="E15" s="96" t="str">
        <f>CONCATENATE(FIXED(E29,1),IF(E29+eps&lt;0," &lt; "," ≥ "),FIXED(0,1))</f>
        <v>-0,4 &lt; 0,0</v>
      </c>
      <c r="F15" s="118" t="str">
        <f>CONCATENATE(FIXED(F29,1),IF(F29+eps&lt;0," &lt; "," ≥ "),FIXED(0,1))</f>
        <v>0,7 ≥ 0,0</v>
      </c>
    </row>
    <row r="16" spans="1:8" ht="21" customHeight="1" thickBot="1" x14ac:dyDescent="0.3">
      <c r="B16" s="368"/>
      <c r="C16" s="400"/>
      <c r="D16" s="447"/>
      <c r="E16" s="86" t="str">
        <f>IF(E14="Tiesa","True","False")</f>
        <v>True</v>
      </c>
      <c r="F16" s="122" t="str">
        <f>IF(F14="Tiesa","True","False")</f>
        <v>False</v>
      </c>
    </row>
    <row r="17" spans="2:8" ht="18.75" customHeight="1" x14ac:dyDescent="0.25">
      <c r="B17" s="368"/>
      <c r="C17" s="412" t="s">
        <v>268</v>
      </c>
      <c r="D17" s="447" t="s">
        <v>269</v>
      </c>
      <c r="E17" s="63" t="str">
        <f>IF(OR((E29&gt;=0)*(E30&gt;=0),(E29&gt;=0)*(E30&gt;=E31)),"Tiesa","Netiesa")</f>
        <v>Netiesa</v>
      </c>
      <c r="F17" s="62" t="str">
        <f>IF(OR((F29&gt;=0)*(F30&gt;=0),(F29&gt;=0)*(F30&gt;=F31)),"Tiesa","Netiesa")</f>
        <v>Tiesa</v>
      </c>
    </row>
    <row r="18" spans="2:8" ht="47.25" customHeight="1" x14ac:dyDescent="0.25">
      <c r="B18" s="368"/>
      <c r="C18" s="412"/>
      <c r="D18" s="447"/>
      <c r="E18" s="151" t="str">
        <f>CONCATENATE(FIXED(E29,1),,IF(E29&lt;0," &lt; "," ≥ "),FIXED(0,1), " &amp;
","(",
 FIXED(E30,1),IF(E30&gt;=E31," ≥ "," &lt; "), FIXED(E31,1), " arba / or ",FIXED(E30,1),IF(E30&lt;0," &lt; "," ≥ "),FIXED(0,1),")")</f>
        <v>-0,4 &lt; 0,0 &amp;
(0,6 &lt; 0,7 arba / or 0,6 ≥ 0,0)</v>
      </c>
      <c r="F18" s="118" t="str">
        <f>CONCATENATE(FIXED(F29,1),,IF(F29&lt;0," &lt; "," ≥ "),FIXED(0,1), " &amp;
","(", FIXED(F30,1),IF(F30&gt;=F31," ≥ "," &lt; "), FIXED(F31,1), " arba / or ",FIXED(F30,1),IF(F30&lt;0," &lt; "," ≥ "),FIXED(0,1),")")</f>
        <v>0,7 ≥ 0,0 &amp;
(0,5 &lt; 0,7 arba / or 0,5 ≥ 0,0)</v>
      </c>
    </row>
    <row r="19" spans="2:8" ht="18" customHeight="1" thickBot="1" x14ac:dyDescent="0.3">
      <c r="B19" s="368"/>
      <c r="C19" s="413"/>
      <c r="D19" s="448"/>
      <c r="E19" s="86" t="str">
        <f>IF(E17="Tiesa","True","False")</f>
        <v>False</v>
      </c>
      <c r="F19" s="121" t="str">
        <f>IF(F17="Tiesa","True","False")</f>
        <v>True</v>
      </c>
    </row>
    <row r="20" spans="2:8" ht="21" customHeight="1" x14ac:dyDescent="0.25">
      <c r="B20" s="368"/>
      <c r="C20" s="437" t="s">
        <v>270</v>
      </c>
      <c r="D20" s="437"/>
      <c r="E20" s="116" t="str">
        <f>IF(OR(E14="Tiesa",E17="Tiesa"),"Tenkinama","Netenkinama")</f>
        <v>Tenkinama</v>
      </c>
      <c r="F20" s="114" t="str">
        <f>IF(OR(F14="Tiesa",F17="Tiesa"),"Tenkinama","Netenkinama")</f>
        <v>Tenkinama</v>
      </c>
    </row>
    <row r="21" spans="2:8" ht="21" customHeight="1" thickBot="1" x14ac:dyDescent="0.3">
      <c r="B21" s="369"/>
      <c r="C21" s="411" t="s">
        <v>271</v>
      </c>
      <c r="D21" s="411"/>
      <c r="E21" s="119" t="str">
        <f>IF(E20="Tenkinama","Valid","Invalid ")</f>
        <v>Valid</v>
      </c>
      <c r="F21" s="115" t="str">
        <f>IF(F20="Tenkinama","Valid","Invalid ")</f>
        <v>Valid</v>
      </c>
    </row>
    <row r="22" spans="2:8" ht="101.25" customHeight="1" thickBot="1" x14ac:dyDescent="0.3">
      <c r="B22" s="440" t="s">
        <v>272</v>
      </c>
      <c r="C22" s="186" t="s">
        <v>273</v>
      </c>
      <c r="D22" s="217" t="s">
        <v>274</v>
      </c>
      <c r="E22" s="150" t="s">
        <v>303</v>
      </c>
      <c r="F22" s="152" t="s">
        <v>303</v>
      </c>
    </row>
    <row r="23" spans="2:8" ht="64.5" customHeight="1" thickBot="1" x14ac:dyDescent="0.3">
      <c r="B23" s="440"/>
      <c r="C23" s="450" t="s">
        <v>275</v>
      </c>
      <c r="D23" s="447" t="s">
        <v>276</v>
      </c>
      <c r="E23" s="439" t="str">
        <f>E7</f>
        <v>Will be assessed in June 2022</v>
      </c>
      <c r="F23" s="438" t="str">
        <f>F7</f>
        <v>Will be assessed in June 2022</v>
      </c>
    </row>
    <row r="24" spans="2:8" ht="42" customHeight="1" thickBot="1" x14ac:dyDescent="0.3">
      <c r="B24" s="440"/>
      <c r="C24" s="451"/>
      <c r="D24" s="448"/>
      <c r="E24" s="439"/>
      <c r="F24" s="438"/>
    </row>
    <row r="25" spans="2:8" ht="19.5" customHeight="1" thickBot="1" x14ac:dyDescent="0.3">
      <c r="B25" s="367"/>
      <c r="C25" s="354" t="s">
        <v>45</v>
      </c>
      <c r="D25" s="449"/>
      <c r="E25" s="116"/>
      <c r="F25" s="152"/>
    </row>
    <row r="26" spans="2:8" ht="19.5" customHeight="1" thickBot="1" x14ac:dyDescent="0.3">
      <c r="B26" s="441"/>
      <c r="C26" s="442" t="s">
        <v>46</v>
      </c>
      <c r="D26" s="443"/>
      <c r="E26" s="51"/>
      <c r="F26" s="117"/>
    </row>
    <row r="27" spans="2:8" ht="15" thickTop="1" thickBot="1" x14ac:dyDescent="0.3">
      <c r="C27" s="52" t="s">
        <v>277</v>
      </c>
      <c r="D27" s="29"/>
      <c r="E27" s="29"/>
      <c r="F27" s="29"/>
      <c r="H27" s="53"/>
    </row>
    <row r="28" spans="2:8" ht="14.4" thickBot="1" x14ac:dyDescent="0.3">
      <c r="C28" s="102" t="s">
        <v>278</v>
      </c>
      <c r="D28" s="53" t="s">
        <v>183</v>
      </c>
      <c r="E28" s="349">
        <v>2022</v>
      </c>
      <c r="F28" s="349"/>
      <c r="H28" s="53"/>
    </row>
    <row r="29" spans="2:8" ht="14.4" thickBot="1" x14ac:dyDescent="0.3">
      <c r="D29" s="53" t="s">
        <v>187</v>
      </c>
      <c r="E29" s="76">
        <f>'2. Macro'!M20</f>
        <v>-0.41711127393317948</v>
      </c>
      <c r="F29" s="77">
        <f>'2. Macro'!M19</f>
        <v>0.65901660269993556</v>
      </c>
      <c r="H29" s="53"/>
    </row>
    <row r="30" spans="2:8" ht="16.8" thickBot="1" x14ac:dyDescent="0.4">
      <c r="D30" s="53" t="s">
        <v>279</v>
      </c>
      <c r="E30" s="76">
        <f>'3. GGbudget'!F31</f>
        <v>0.61237844883522663</v>
      </c>
      <c r="F30" s="77">
        <f>'3. GGbudget'!H31</f>
        <v>0.47571513191109377</v>
      </c>
      <c r="H30" s="53"/>
    </row>
    <row r="31" spans="2:8" ht="16.8" thickBot="1" x14ac:dyDescent="0.4">
      <c r="D31" s="53" t="s">
        <v>280</v>
      </c>
      <c r="E31" s="76">
        <f>'3. GGbudget'!E31</f>
        <v>0.70636373624755011</v>
      </c>
      <c r="F31" s="77">
        <f>'3. GGbudget'!G31</f>
        <v>0.68344692272439955</v>
      </c>
      <c r="G31" s="26"/>
      <c r="H31" s="53"/>
    </row>
    <row r="32" spans="2:8" ht="16.8" thickBot="1" x14ac:dyDescent="0.4">
      <c r="D32" s="53" t="s">
        <v>281</v>
      </c>
      <c r="E32" s="76">
        <f>'3. GGbudget'!F32</f>
        <v>1.7518673505193538E-2</v>
      </c>
      <c r="F32" s="77">
        <f>'3. GGbudget'!H32</f>
        <v>-2.7678697313397296E-2</v>
      </c>
      <c r="H32" s="10"/>
    </row>
    <row r="33" spans="4:8" ht="15" thickBot="1" x14ac:dyDescent="0.35">
      <c r="D33" s="10" t="s">
        <v>47</v>
      </c>
      <c r="E33" s="10"/>
      <c r="F33" s="5"/>
      <c r="G33" s="130" t="s">
        <v>282</v>
      </c>
      <c r="H33" s="10"/>
    </row>
    <row r="34" spans="4:8" ht="15" thickBot="1" x14ac:dyDescent="0.35">
      <c r="D34" s="10" t="s">
        <v>49</v>
      </c>
      <c r="E34" s="421" t="s">
        <v>23</v>
      </c>
      <c r="F34" s="422"/>
      <c r="G34" s="130" t="s">
        <v>50</v>
      </c>
      <c r="H34" s="10"/>
    </row>
    <row r="35" spans="4:8" ht="15" thickBot="1" x14ac:dyDescent="0.35">
      <c r="D35" s="10" t="s">
        <v>51</v>
      </c>
      <c r="E35" s="423" t="s">
        <v>24</v>
      </c>
      <c r="F35" s="424"/>
      <c r="G35" s="231" t="s">
        <v>52</v>
      </c>
    </row>
    <row r="36" spans="4:8" x14ac:dyDescent="0.25">
      <c r="E36" s="53"/>
    </row>
    <row r="37" spans="4:8" x14ac:dyDescent="0.25">
      <c r="E37" s="53"/>
      <c r="F37" s="104"/>
    </row>
    <row r="38" spans="4:8" x14ac:dyDescent="0.25">
      <c r="E38" s="53"/>
      <c r="F38" s="104"/>
    </row>
  </sheetData>
  <mergeCells count="28">
    <mergeCell ref="B22:B26"/>
    <mergeCell ref="C26:D26"/>
    <mergeCell ref="C9:C10"/>
    <mergeCell ref="C13:D13"/>
    <mergeCell ref="B9:B13"/>
    <mergeCell ref="C14:C16"/>
    <mergeCell ref="D14:D16"/>
    <mergeCell ref="C21:D21"/>
    <mergeCell ref="B14:B21"/>
    <mergeCell ref="C17:C19"/>
    <mergeCell ref="D17:D19"/>
    <mergeCell ref="C25:D25"/>
    <mergeCell ref="C23:C24"/>
    <mergeCell ref="D23:D24"/>
    <mergeCell ref="E35:F35"/>
    <mergeCell ref="D9:D11"/>
    <mergeCell ref="C8:D8"/>
    <mergeCell ref="C12:D12"/>
    <mergeCell ref="C20:D20"/>
    <mergeCell ref="E34:F34"/>
    <mergeCell ref="E28:F28"/>
    <mergeCell ref="F23:F24"/>
    <mergeCell ref="E23:E24"/>
    <mergeCell ref="D6:D7"/>
    <mergeCell ref="B1:C1"/>
    <mergeCell ref="B3:F3"/>
    <mergeCell ref="E4:F4"/>
    <mergeCell ref="B5:D5"/>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E17</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E9</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3" ma:contentTypeDescription="Kurkite naują dokumentą." ma:contentTypeScope="" ma:versionID="985e03e4051eefe0924448369221f2c6">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78274c8af4f7aa1c86700f02b1408373"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2ADE3A-9A5D-4ACF-8819-75BC78AD25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82EF8B-66EA-4F82-A307-9453EED8E315}">
  <ds:schemaRefs>
    <ds:schemaRef ds:uri="c102cb31-f5d5-4956-a0cb-1590ba36978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ef9cdfa-f4fd-4645-9be5-758c49499792"/>
    <ds:schemaRef ds:uri="http://www.w3.org/XML/1998/namespace"/>
    <ds:schemaRef ds:uri="http://purl.org/dc/dcmitype/"/>
  </ds:schemaRefs>
</ds:datastoreItem>
</file>

<file path=customXml/itemProps3.xml><?xml version="1.0" encoding="utf-8"?>
<ds:datastoreItem xmlns:ds="http://schemas.openxmlformats.org/officeDocument/2006/customXml" ds:itemID="{6780A987-4A38-4293-857B-392ED21F98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1</vt:i4>
      </vt:variant>
    </vt:vector>
  </HeadingPairs>
  <TitlesOfParts>
    <vt:vector size="8" baseType="lpstr">
      <vt:lpstr>Content</vt:lpstr>
      <vt:lpstr>1. Summary</vt:lpstr>
      <vt:lpstr>2. Macro</vt:lpstr>
      <vt:lpstr>3. GGbudget</vt:lpstr>
      <vt:lpstr>4. SurplusGG</vt:lpstr>
      <vt:lpstr>5. GGexpenditure</vt:lpstr>
      <vt:lpstr>6. GGbudgets</vt:lpstr>
      <vt:lpstr>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Viktorija Bindoriūtė-Sakalauskė</cp:lastModifiedBy>
  <cp:revision/>
  <dcterms:created xsi:type="dcterms:W3CDTF">2021-04-14T11:35:04Z</dcterms:created>
  <dcterms:modified xsi:type="dcterms:W3CDTF">2021-11-08T08:52:09Z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y fmtid="{D5CDD505-2E9C-101B-9397-08002B2CF9AE}" pid="5" name="Order">
    <vt:r8>15327300</vt:r8>
  </property>
  <property fmtid="{D5CDD505-2E9C-101B-9397-08002B2CF9AE}" pid="6" name="TriggerFlowInfo">
    <vt:lpwstr/>
  </property>
</Properties>
</file>