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Šios_darbaknygės"/>
  <mc:AlternateContent xmlns:mc="http://schemas.openxmlformats.org/markup-compatibility/2006">
    <mc:Choice Requires="x15">
      <x15ac:absPath xmlns:x15ac="http://schemas.microsoft.com/office/spreadsheetml/2010/11/ac" url="C:\Users\vbindoriute\Desktop\"/>
    </mc:Choice>
  </mc:AlternateContent>
  <xr:revisionPtr revIDLastSave="0" documentId="13_ncr:1_{DED372CD-45CF-459F-9718-A3ABA024941F}" xr6:coauthVersionLast="36" xr6:coauthVersionMax="47" xr10:uidLastSave="{00000000-0000-0000-0000-000000000000}"/>
  <bookViews>
    <workbookView xWindow="0" yWindow="0" windowWidth="20496" windowHeight="6348"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9" i="3" l="1"/>
  <c r="D19" i="3"/>
  <c r="F7" i="6"/>
  <c r="G54" i="6" l="1"/>
  <c r="G53" i="6"/>
  <c r="F30" i="4" l="1"/>
  <c r="F7" i="4" l="1"/>
  <c r="F54" i="6" l="1"/>
  <c r="G56" i="6" l="1"/>
  <c r="F23" i="7" l="1"/>
  <c r="E23" i="7"/>
  <c r="G7" i="6" l="1"/>
  <c r="F14" i="6" l="1"/>
  <c r="G16" i="6"/>
  <c r="F16" i="6"/>
  <c r="G15" i="6"/>
  <c r="G17" i="6" s="1"/>
  <c r="F15" i="6"/>
  <c r="F17" i="6" s="1"/>
  <c r="F56" i="6"/>
  <c r="G55" i="6"/>
  <c r="F55" i="6"/>
  <c r="F8" i="4"/>
  <c r="F9" i="4" l="1"/>
  <c r="H32" i="4"/>
  <c r="E30" i="4"/>
  <c r="M22" i="3" l="1"/>
  <c r="F39" i="6" l="1"/>
  <c r="F12" i="6"/>
  <c r="H31" i="4"/>
  <c r="E31" i="4"/>
  <c r="E31" i="7" s="1"/>
  <c r="F13" i="6" l="1"/>
  <c r="M20" i="3" l="1"/>
  <c r="F14" i="4"/>
  <c r="L20" i="3" l="1"/>
  <c r="L13" i="3"/>
  <c r="H7" i="4" l="1"/>
  <c r="L9" i="3" l="1"/>
  <c r="E5" i="3" l="1"/>
  <c r="F5" i="3"/>
  <c r="G5" i="3"/>
  <c r="H5" i="3"/>
  <c r="I5" i="3"/>
  <c r="J5" i="3"/>
  <c r="K5" i="3"/>
  <c r="L5" i="3"/>
  <c r="H9" i="4" l="1"/>
  <c r="M17" i="3" l="1"/>
  <c r="N17" i="3"/>
  <c r="O17" i="3"/>
  <c r="P17" i="3"/>
  <c r="M18" i="3"/>
  <c r="N18" i="3"/>
  <c r="O18" i="3"/>
  <c r="P18" i="3"/>
  <c r="L17" i="3"/>
  <c r="M11" i="3"/>
  <c r="N11" i="3" s="1"/>
  <c r="O11" i="3" s="1"/>
  <c r="P11" i="3" s="1"/>
  <c r="P19" i="3" s="1"/>
  <c r="M12" i="3"/>
  <c r="N12" i="3" s="1"/>
  <c r="O12" i="3" s="1"/>
  <c r="P12" i="3" s="1"/>
  <c r="P20" i="3" s="1"/>
  <c r="M8" i="3"/>
  <c r="M7" i="3"/>
  <c r="N7" i="3" s="1"/>
  <c r="O7" i="3" s="1"/>
  <c r="P7" i="3" s="1"/>
  <c r="N8" i="3"/>
  <c r="O8" i="3" s="1"/>
  <c r="P8" i="3" s="1"/>
  <c r="P27" i="3" l="1"/>
  <c r="P28" i="3"/>
  <c r="M28" i="3"/>
  <c r="P22" i="3"/>
  <c r="P24" i="3"/>
  <c r="P26" i="3"/>
  <c r="P21" i="3"/>
  <c r="P23" i="3"/>
  <c r="P25" i="3"/>
  <c r="N20" i="3"/>
  <c r="N19" i="3"/>
  <c r="N28" i="3"/>
  <c r="N30" i="3" s="1"/>
  <c r="N27" i="3"/>
  <c r="F50" i="6"/>
  <c r="M19" i="3"/>
  <c r="M27" i="3"/>
  <c r="O20" i="3"/>
  <c r="O19" i="3"/>
  <c r="O28" i="3"/>
  <c r="O27" i="3"/>
  <c r="F13" i="3"/>
  <c r="G13" i="3"/>
  <c r="H13" i="3"/>
  <c r="I13" i="3"/>
  <c r="J13" i="3"/>
  <c r="K13" i="3"/>
  <c r="F10" i="3"/>
  <c r="G10" i="3"/>
  <c r="H10" i="3"/>
  <c r="I10" i="3"/>
  <c r="J10" i="3"/>
  <c r="K10" i="3"/>
  <c r="L10" i="3"/>
  <c r="F9" i="3"/>
  <c r="G9" i="3"/>
  <c r="H9" i="3"/>
  <c r="I9" i="3"/>
  <c r="J9" i="3"/>
  <c r="K9" i="3"/>
  <c r="G50" i="6" l="1"/>
  <c r="F31" i="5"/>
  <c r="F29" i="7"/>
  <c r="F15" i="7" s="1"/>
  <c r="E31" i="5"/>
  <c r="E29" i="7"/>
  <c r="O30" i="3"/>
  <c r="O29" i="3"/>
  <c r="P29" i="3"/>
  <c r="P30" i="3"/>
  <c r="M21" i="3"/>
  <c r="M23" i="3"/>
  <c r="M25" i="3"/>
  <c r="N21" i="3"/>
  <c r="N23" i="3"/>
  <c r="N25" i="3"/>
  <c r="O21" i="3"/>
  <c r="O23" i="3"/>
  <c r="O25" i="3"/>
  <c r="M24" i="3"/>
  <c r="M26" i="3"/>
  <c r="N22" i="3"/>
  <c r="N24" i="3"/>
  <c r="N26" i="3"/>
  <c r="O22" i="3"/>
  <c r="O24" i="3"/>
  <c r="O26" i="3"/>
  <c r="N29" i="3"/>
  <c r="H6" i="4"/>
  <c r="G6" i="4"/>
  <c r="F6" i="4"/>
  <c r="E6" i="4"/>
  <c r="E10" i="4" s="1"/>
  <c r="H5" i="4"/>
  <c r="G5" i="4"/>
  <c r="L35" i="3" l="1"/>
  <c r="H17" i="3" l="1"/>
  <c r="E19" i="3"/>
  <c r="L28" i="3" l="1"/>
  <c r="M30" i="3" s="1"/>
  <c r="L21" i="3"/>
  <c r="E7" i="5" l="1"/>
  <c r="C12" i="2" s="1"/>
  <c r="E6" i="5"/>
  <c r="C11" i="2" s="1"/>
  <c r="D26" i="3"/>
  <c r="D38" i="3" s="1"/>
  <c r="K20" i="3" l="1"/>
  <c r="K26" i="3" l="1"/>
  <c r="F41" i="6" l="1"/>
  <c r="D26" i="2" l="1"/>
  <c r="D25" i="2"/>
  <c r="C26" i="2"/>
  <c r="C25" i="2"/>
  <c r="D32" i="2"/>
  <c r="D31" i="2"/>
  <c r="C32" i="2"/>
  <c r="C31" i="2"/>
  <c r="E21" i="5" l="1"/>
  <c r="F23" i="5"/>
  <c r="E23" i="5"/>
  <c r="F21" i="5"/>
  <c r="F20" i="5"/>
  <c r="E20" i="5"/>
  <c r="D10" i="2" l="1"/>
  <c r="C10" i="2"/>
  <c r="E36" i="5"/>
  <c r="E39" i="5"/>
  <c r="E38" i="5"/>
  <c r="E37" i="5"/>
  <c r="F22" i="5"/>
  <c r="D9" i="2" s="1"/>
  <c r="E32" i="5"/>
  <c r="E30" i="5"/>
  <c r="F18" i="5" l="1"/>
  <c r="E18" i="5"/>
  <c r="E17" i="5"/>
  <c r="E19" i="5" s="1"/>
  <c r="F17" i="5"/>
  <c r="F19" i="5" s="1"/>
  <c r="E40" i="5"/>
  <c r="D7" i="2"/>
  <c r="C8" i="2" l="1"/>
  <c r="D8" i="2"/>
  <c r="E22" i="5"/>
  <c r="C9" i="2" s="1"/>
  <c r="C7" i="2"/>
  <c r="F42" i="6" l="1"/>
  <c r="G18" i="6" l="1"/>
  <c r="G19" i="6" s="1"/>
  <c r="G20" i="6" l="1"/>
  <c r="G66" i="6"/>
  <c r="I66" i="6" s="1"/>
  <c r="H29" i="4" l="1"/>
  <c r="G29" i="4"/>
  <c r="F65" i="6" l="1"/>
  <c r="H65" i="6" s="1"/>
  <c r="G41" i="6" l="1"/>
  <c r="G15" i="4"/>
  <c r="G42" i="6" s="1"/>
  <c r="G13" i="4"/>
  <c r="H11" i="4"/>
  <c r="G11" i="4"/>
  <c r="G9" i="4"/>
  <c r="H21" i="4" l="1"/>
  <c r="H22" i="4" s="1"/>
  <c r="G21" i="4"/>
  <c r="G38" i="6" s="1"/>
  <c r="G52" i="6" s="1"/>
  <c r="G7" i="4"/>
  <c r="H10" i="4"/>
  <c r="G20" i="4"/>
  <c r="E24" i="4"/>
  <c r="E7" i="4"/>
  <c r="L36" i="3"/>
  <c r="K36" i="3"/>
  <c r="J36" i="3"/>
  <c r="I36" i="3"/>
  <c r="H36" i="3"/>
  <c r="G36" i="3"/>
  <c r="F36" i="3"/>
  <c r="E36" i="3"/>
  <c r="D36" i="3"/>
  <c r="K35" i="3"/>
  <c r="J35" i="3"/>
  <c r="I35" i="3"/>
  <c r="H35" i="3"/>
  <c r="G35" i="3"/>
  <c r="F35" i="3"/>
  <c r="E35" i="3"/>
  <c r="D35" i="3"/>
  <c r="L32" i="3"/>
  <c r="K32" i="3"/>
  <c r="J32" i="3"/>
  <c r="I32" i="3"/>
  <c r="H32" i="3"/>
  <c r="G32" i="3"/>
  <c r="F6" i="6" s="1"/>
  <c r="F32" i="3"/>
  <c r="D32" i="3"/>
  <c r="D30" i="3"/>
  <c r="D29" i="3"/>
  <c r="K28" i="3"/>
  <c r="L30" i="3" s="1"/>
  <c r="J28" i="3"/>
  <c r="I28" i="3"/>
  <c r="H28" i="3"/>
  <c r="G28" i="3"/>
  <c r="F28" i="3"/>
  <c r="E28" i="3"/>
  <c r="D28" i="3"/>
  <c r="L27" i="3"/>
  <c r="M29" i="3" s="1"/>
  <c r="K27" i="3"/>
  <c r="J27" i="3"/>
  <c r="I27" i="3"/>
  <c r="H27" i="3"/>
  <c r="G27" i="3"/>
  <c r="F27" i="3"/>
  <c r="E27" i="3"/>
  <c r="D27" i="3"/>
  <c r="D39" i="3"/>
  <c r="D25" i="3"/>
  <c r="D24" i="3"/>
  <c r="D23" i="3"/>
  <c r="D22" i="3"/>
  <c r="D21" i="3"/>
  <c r="J20" i="3"/>
  <c r="J26" i="3" s="1"/>
  <c r="I20" i="3"/>
  <c r="H20" i="3"/>
  <c r="G20" i="3"/>
  <c r="F20" i="3"/>
  <c r="E20" i="3"/>
  <c r="D20" i="3"/>
  <c r="L25" i="3"/>
  <c r="K19" i="3"/>
  <c r="J19" i="3"/>
  <c r="J23" i="3" s="1"/>
  <c r="I19" i="3"/>
  <c r="H19" i="3"/>
  <c r="G19" i="3"/>
  <c r="F19" i="3"/>
  <c r="L18" i="3"/>
  <c r="K18" i="3"/>
  <c r="J18" i="3"/>
  <c r="I18" i="3"/>
  <c r="H18" i="3"/>
  <c r="G18" i="3"/>
  <c r="F18" i="3"/>
  <c r="D18" i="3"/>
  <c r="K17" i="3"/>
  <c r="J17" i="3"/>
  <c r="I17" i="3"/>
  <c r="G17" i="3"/>
  <c r="F17" i="3"/>
  <c r="D17" i="3"/>
  <c r="L14" i="3"/>
  <c r="K14" i="3"/>
  <c r="J14" i="3"/>
  <c r="I14" i="3"/>
  <c r="H14" i="3"/>
  <c r="G14" i="3"/>
  <c r="F14" i="3"/>
  <c r="D14" i="3"/>
  <c r="D13" i="3"/>
  <c r="D11" i="3"/>
  <c r="D10" i="3"/>
  <c r="D9" i="3"/>
  <c r="M5" i="3"/>
  <c r="G37" i="6" l="1"/>
  <c r="G51" i="6" s="1"/>
  <c r="G65" i="6"/>
  <c r="I65" i="6" s="1"/>
  <c r="G12" i="6"/>
  <c r="L29" i="3"/>
  <c r="F24" i="4"/>
  <c r="F29" i="3"/>
  <c r="J29" i="3"/>
  <c r="I30" i="3"/>
  <c r="G44" i="6"/>
  <c r="G43" i="6"/>
  <c r="F44" i="6"/>
  <c r="F43" i="6"/>
  <c r="K21" i="3"/>
  <c r="K23" i="3"/>
  <c r="G6" i="6"/>
  <c r="L26" i="3"/>
  <c r="L24" i="3"/>
  <c r="L22" i="3"/>
  <c r="H18" i="4"/>
  <c r="H24" i="4"/>
  <c r="H12" i="4"/>
  <c r="G10" i="4"/>
  <c r="E26" i="4"/>
  <c r="H29" i="3"/>
  <c r="G30" i="3"/>
  <c r="K30" i="3"/>
  <c r="E8" i="4"/>
  <c r="F10" i="4"/>
  <c r="F26" i="4"/>
  <c r="H8" i="4"/>
  <c r="H30" i="4" s="1"/>
  <c r="E28" i="4"/>
  <c r="F12" i="4"/>
  <c r="F28" i="4"/>
  <c r="G16" i="4"/>
  <c r="G26" i="4"/>
  <c r="H14" i="4"/>
  <c r="H26" i="4"/>
  <c r="G8" i="4"/>
  <c r="G24" i="4"/>
  <c r="G22" i="4"/>
  <c r="E14" i="4"/>
  <c r="E12" i="4"/>
  <c r="G18" i="4"/>
  <c r="G28" i="4"/>
  <c r="H16" i="4"/>
  <c r="H28" i="4"/>
  <c r="G14" i="4"/>
  <c r="G29" i="3"/>
  <c r="E16" i="4"/>
  <c r="F16" i="4"/>
  <c r="G12" i="4"/>
  <c r="H20" i="4"/>
  <c r="F30" i="3"/>
  <c r="J30" i="3"/>
  <c r="K29" i="3"/>
  <c r="I29" i="3"/>
  <c r="H30" i="3"/>
  <c r="P5" i="3"/>
  <c r="O5" i="3"/>
  <c r="N5" i="3"/>
  <c r="G21" i="3"/>
  <c r="I22" i="3"/>
  <c r="H21" i="3"/>
  <c r="F22" i="3"/>
  <c r="J22" i="3"/>
  <c r="L23" i="3"/>
  <c r="J24" i="3"/>
  <c r="J25" i="3"/>
  <c r="E22" i="3"/>
  <c r="E21" i="3"/>
  <c r="I21" i="3"/>
  <c r="G22" i="3"/>
  <c r="K22" i="3"/>
  <c r="K24" i="3"/>
  <c r="K25" i="3"/>
  <c r="F21" i="3"/>
  <c r="J21" i="3"/>
  <c r="H22" i="3"/>
  <c r="G13" i="6" l="1"/>
  <c r="G32" i="4"/>
  <c r="G31" i="4"/>
  <c r="G30" i="4"/>
  <c r="F29" i="5" s="1"/>
  <c r="F31" i="4"/>
  <c r="F32" i="7"/>
  <c r="F10" i="7" s="1"/>
  <c r="F32" i="4"/>
  <c r="E32" i="4"/>
  <c r="E28" i="5"/>
  <c r="E15" i="7"/>
  <c r="F64" i="6"/>
  <c r="H64" i="6" s="1"/>
  <c r="F30" i="7"/>
  <c r="G64" i="6"/>
  <c r="I64" i="6" s="1"/>
  <c r="G14" i="6"/>
  <c r="E30" i="7"/>
  <c r="F18" i="6"/>
  <c r="F19" i="6" s="1"/>
  <c r="F62" i="6"/>
  <c r="F8" i="6"/>
  <c r="F28" i="5"/>
  <c r="F31" i="7"/>
  <c r="E29" i="5"/>
  <c r="G62" i="6"/>
  <c r="G8" i="6"/>
  <c r="G9" i="6"/>
  <c r="G10" i="6" s="1"/>
  <c r="F9" i="6"/>
  <c r="F10" i="6" s="1"/>
  <c r="E32" i="7"/>
  <c r="E10" i="7" s="1"/>
  <c r="E14" i="7"/>
  <c r="E16" i="7" s="1"/>
  <c r="F14" i="7"/>
  <c r="F16" i="7" s="1"/>
  <c r="E12" i="5" l="1"/>
  <c r="E9" i="5"/>
  <c r="E18" i="7"/>
  <c r="F18" i="7"/>
  <c r="F9" i="5"/>
  <c r="F9" i="7"/>
  <c r="F12" i="7" s="1"/>
  <c r="F17" i="7"/>
  <c r="F19" i="7" s="1"/>
  <c r="I62" i="6"/>
  <c r="H62" i="6"/>
  <c r="F8" i="5"/>
  <c r="F10" i="5" s="1"/>
  <c r="E17" i="7"/>
  <c r="F20" i="6"/>
  <c r="F66" i="6"/>
  <c r="H66" i="6" s="1"/>
  <c r="G21" i="6"/>
  <c r="F21" i="6"/>
  <c r="F63" i="6"/>
  <c r="H63" i="6" s="1"/>
  <c r="F11" i="6"/>
  <c r="E8" i="5"/>
  <c r="E10" i="5" s="1"/>
  <c r="G11" i="6"/>
  <c r="G63" i="6"/>
  <c r="I63" i="6" s="1"/>
  <c r="E9" i="7"/>
  <c r="E11" i="7" s="1"/>
  <c r="E19" i="7" l="1"/>
  <c r="E20" i="7"/>
  <c r="C29" i="2" s="1"/>
  <c r="F11" i="7"/>
  <c r="F27" i="6"/>
  <c r="G27" i="6"/>
  <c r="F20" i="7"/>
  <c r="D29" i="2" s="1"/>
  <c r="E12" i="7"/>
  <c r="E13" i="7" s="1"/>
  <c r="C28" i="2" s="1"/>
  <c r="F67" i="6"/>
  <c r="F23" i="6"/>
  <c r="G67" i="6"/>
  <c r="G30" i="6" s="1"/>
  <c r="D19" i="2" s="1"/>
  <c r="F26" i="6"/>
  <c r="F29" i="6" s="1"/>
  <c r="G26" i="6"/>
  <c r="C14" i="2"/>
  <c r="G23" i="6"/>
  <c r="D14" i="2"/>
  <c r="F13" i="7"/>
  <c r="D28" i="2" s="1"/>
  <c r="D27" i="2"/>
  <c r="C27" i="2" l="1"/>
  <c r="F21" i="7"/>
  <c r="D30" i="2" s="1"/>
  <c r="F30" i="6"/>
  <c r="C19" i="2" s="1"/>
  <c r="F31" i="6"/>
  <c r="C20" i="2" s="1"/>
  <c r="E21" i="7"/>
  <c r="C30" i="2" s="1"/>
  <c r="G29" i="6"/>
  <c r="G31" i="6" s="1"/>
  <c r="D20" i="2" s="1"/>
  <c r="F15" i="5"/>
  <c r="F12" i="5"/>
  <c r="G22" i="6"/>
  <c r="D15" i="2" s="1"/>
  <c r="C18" i="2"/>
  <c r="F22" i="6"/>
  <c r="C15" i="2" s="1"/>
  <c r="F32" i="6"/>
  <c r="C21" i="2" s="1"/>
  <c r="G24" i="6"/>
  <c r="D17" i="2" s="1"/>
  <c r="G32" i="6"/>
  <c r="D21" i="2" s="1"/>
  <c r="F28" i="6"/>
  <c r="F24" i="6"/>
  <c r="C17" i="2" s="1"/>
  <c r="G28" i="6"/>
  <c r="D16" i="2"/>
  <c r="C16" i="2"/>
  <c r="F11" i="5"/>
  <c r="F13" i="5" s="1"/>
  <c r="F14" i="5"/>
  <c r="F16" i="5" s="1"/>
  <c r="D18" i="2" l="1"/>
  <c r="E15" i="5"/>
  <c r="E14" i="5"/>
  <c r="E16" i="5" s="1"/>
  <c r="E11" i="5"/>
  <c r="E1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<sst xmlns="http://schemas.openxmlformats.org/spreadsheetml/2006/main" count="413" uniqueCount="315">
  <si>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</si>
  <si>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</si>
  <si>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</si>
  <si>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</si>
  <si>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</si>
  <si>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</si>
  <si>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</si>
  <si>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</si>
  <si>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</si>
  <si>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</si>
  <si>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</si>
  <si>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</si>
  <si>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</si>
  <si>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</si>
  <si>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</si>
  <si>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</si>
  <si>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</si>
  <si>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</si>
  <si>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</si>
  <si>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</si>
  <si>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</si>
  <si>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r>
      <t xml:space="preserve">1. Fiskalinės drausmės taisyklių laikymosi suvestinė 2020 m.
</t>
    </r>
    <r>
      <rPr>
        <b/>
        <i/>
        <sz val="11"/>
        <color rgb="FF00244D"/>
        <rFont val="Arial"/>
        <family val="2"/>
        <charset val="186"/>
      </rPr>
      <t>Summary of the fulfilment of the fiscal discipline rules in year 2020</t>
    </r>
  </si>
  <si>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</si>
  <si>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</si>
  <si>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</si>
  <si>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</si>
  <si>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</si>
  <si>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</si>
  <si>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</si>
  <si>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</si>
  <si>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</si>
  <si>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</si>
  <si>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</si>
  <si>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</si>
  <si>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</si>
  <si>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</si>
  <si>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</si>
  <si>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 xml:space="preserve">Netikrinama </t>
  </si>
  <si>
    <t xml:space="preserve">Netikrinama 
</t>
  </si>
  <si>
    <t>Is GG expenditure growth limiting rule valid?</t>
  </si>
  <si>
    <t>Not verified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</si>
  <si>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</si>
  <si>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</si>
  <si>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</si>
  <si>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</si>
  <si>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</si>
  <si>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</si>
  <si>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</si>
  <si>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</si>
  <si>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</si>
  <si>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</si>
  <si>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</si>
  <si>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</si>
  <si>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</si>
  <si>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</si>
  <si>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</si>
  <si>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</si>
  <si>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</si>
  <si>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</si>
  <si>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</si>
  <si>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</si>
  <si>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r>
      <rPr>
        <sz val="11"/>
        <rFont val="Arial"/>
        <family val="2"/>
        <charset val="186"/>
      </rPr>
      <t xml:space="preserve">2021 Projekcijos </t>
    </r>
    <r>
      <rPr>
        <i/>
        <sz val="11"/>
        <rFont val="Arial"/>
        <family val="2"/>
        <charset val="186"/>
      </rPr>
      <t xml:space="preserve">/ </t>
    </r>
    <r>
      <rPr>
        <sz val="11"/>
        <rFont val="Arial"/>
        <family val="2"/>
        <charset val="186"/>
      </rPr>
      <t>Projections</t>
    </r>
  </si>
  <si>
    <t>Laikas / Time</t>
  </si>
  <si>
    <t>T</t>
  </si>
  <si>
    <t>t−2</t>
  </si>
  <si>
    <t>t−1</t>
  </si>
  <si>
    <t>t</t>
  </si>
  <si>
    <t>t+1</t>
  </si>
  <si>
    <t>t+2</t>
  </si>
  <si>
    <t>t+3</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</si>
  <si>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</si>
  <si>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</si>
  <si>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</si>
  <si>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</si>
  <si>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</si>
  <si>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</si>
  <si>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</si>
  <si>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</si>
  <si>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</si>
  <si>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</si>
  <si>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</si>
  <si>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</si>
  <si>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</si>
  <si>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</si>
  <si>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</si>
  <si>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</si>
  <si>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</si>
  <si>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</si>
  <si>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</si>
  <si>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</si>
  <si>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</si>
  <si>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</si>
  <si>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</si>
  <si>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</si>
  <si>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</si>
  <si>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</si>
  <si>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</si>
  <si>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</si>
  <si>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</si>
  <si>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</si>
  <si>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</si>
  <si>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</si>
  <si>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</si>
  <si>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</si>
  <si>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</si>
  <si>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</si>
  <si>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</si>
  <si>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</si>
  <si>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</si>
  <si>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European Commission, Eurostat, Statistics Lithuania</t>
  </si>
  <si>
    <t>Finansų ministerija (FM)</t>
  </si>
  <si>
    <t>Ministry of Finance (MoF)</t>
  </si>
  <si>
    <t>Valstybės kontrolės, vykdančios fiskalinės institucijos funkcijas, skaičiavimai</t>
  </si>
  <si>
    <t>National Audit Office of Lithuania, implementing the functions of the fiscal institution, calculations</t>
  </si>
  <si>
    <t>ERS – ekonominės raidos scenarijus</t>
  </si>
  <si>
    <t>EDS – economic development scenario</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</si>
  <si>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</si>
  <si>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</si>
  <si>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</si>
  <si>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</si>
  <si>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</si>
  <si>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</si>
  <si>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</si>
  <si>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</si>
  <si>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</si>
  <si>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</si>
  <si>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</si>
  <si>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</si>
  <si>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</si>
  <si>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</si>
  <si>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</si>
  <si>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</si>
  <si>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</si>
  <si>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</si>
  <si>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</si>
  <si>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</si>
  <si>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</si>
  <si>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</si>
  <si>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</si>
  <si>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</si>
  <si>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</si>
  <si>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</si>
  <si>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</si>
  <si>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</si>
  <si>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</si>
  <si>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</si>
  <si>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</si>
  <si>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</si>
  <si>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</si>
  <si>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</si>
  <si>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</si>
  <si>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</si>
  <si>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</si>
  <si>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</si>
  <si>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</si>
  <si>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</si>
  <si>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</si>
  <si>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</si>
  <si>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</si>
  <si>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</si>
  <si>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</si>
  <si>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r>
      <t xml:space="preserve">5. Perteklinio VS taisyklės sąlygos
</t>
    </r>
    <r>
      <rPr>
        <b/>
        <i/>
        <sz val="11"/>
        <color rgb="FF00244D"/>
        <rFont val="Arial"/>
        <family val="2"/>
        <charset val="186"/>
      </rPr>
      <t>Conditions of the surplus GG sector rule</t>
    </r>
  </si>
  <si>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</si>
  <si>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</si>
  <si>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</si>
  <si>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</si>
  <si>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</si>
  <si>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</si>
  <si>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r>
      <t>S</t>
    </r>
    <r>
      <rPr>
        <vertAlign val="subscript"/>
        <sz val="11"/>
        <color rgb="FF000000"/>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</si>
  <si>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</si>
  <si>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</si>
  <si>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</si>
  <si>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rgb="FF000000"/>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</si>
  <si>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</si>
  <si>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</si>
  <si>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</si>
  <si>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rgb="FF000000"/>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</si>
  <si>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</si>
  <si>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</si>
  <si>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</si>
  <si>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rgb="FF000000"/>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</si>
  <si>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</si>
  <si>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</si>
  <si>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</si>
  <si>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</si>
  <si>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rgb="FF00244D"/>
        <rFont val="Arial"/>
        <family val="2"/>
        <charset val="186"/>
      </rPr>
      <t>1</t>
    </r>
    <r>
      <rPr>
        <b/>
        <sz val="11"/>
        <color rgb="FF00244D"/>
        <rFont val="Arial"/>
        <family val="2"/>
        <charset val="186"/>
      </rPr>
      <t>–S</t>
    </r>
    <r>
      <rPr>
        <b/>
        <vertAlign val="subscript"/>
        <sz val="11"/>
        <color rgb="FF00244D"/>
        <rFont val="Arial"/>
        <family val="2"/>
        <charset val="186"/>
      </rPr>
      <t xml:space="preserve">4 </t>
    </r>
    <r>
      <rPr>
        <b/>
        <sz val="11"/>
        <color rgb="FF00244D"/>
        <rFont val="Arial"/>
        <family val="2"/>
        <charset val="186"/>
      </rPr>
      <t xml:space="preserve">sąlygų </t>
    </r>
  </si>
  <si>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</si>
  <si>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</si>
  <si>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</si>
  <si>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</si>
  <si>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</si>
  <si>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</si>
  <si>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</si>
  <si>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</si>
  <si>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</si>
  <si>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</si>
  <si>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</si>
  <si>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</si>
  <si>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</si>
  <si>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</si>
  <si>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</si>
  <si>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</si>
  <si>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</si>
  <si>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</si>
  <si>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</si>
  <si>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6. VS išlaidų augimo ribojimo taisyklė
</t>
    </r>
    <r>
      <rPr>
        <b/>
        <i/>
        <sz val="11"/>
        <color rgb="FF00244D"/>
        <rFont val="Arial"/>
        <family val="2"/>
        <charset val="186"/>
      </rPr>
      <t>GG expenditure growth limiting rule</t>
    </r>
  </si>
  <si>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</si>
  <si>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</si>
  <si>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rgb="FF000000"/>
        <rFont val="Arial"/>
        <family val="2"/>
        <charset val="186"/>
      </rPr>
      <t>A</t>
    </r>
    <r>
      <rPr>
        <vertAlign val="subscript"/>
        <sz val="11"/>
        <color rgb="FF000000"/>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</si>
  <si>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</si>
  <si>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</si>
  <si>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rgb="FF000000"/>
        <rFont val="Arial"/>
        <family val="2"/>
        <charset val="186"/>
      </rPr>
      <t>A</t>
    </r>
    <r>
      <rPr>
        <vertAlign val="subscript"/>
        <sz val="11"/>
        <color rgb="FF000000"/>
        <rFont val="Arial"/>
        <family val="2"/>
        <charset val="186"/>
      </rPr>
      <t>2</t>
    </r>
  </si>
  <si>
    <t>Numatomas VS balanso rodiklio postūmis yra teigiamas ir sudaro bent 1,0 procentinį punktą BVP</t>
  </si>
  <si>
    <t>B(t) ≥ B(t–1)+1</t>
  </si>
  <si>
    <t>Projected GG sector balance indicator adjustment is positive and makes up at least 1.0 percentage point of GDP</t>
  </si>
  <si>
    <r>
      <rPr>
        <sz val="11"/>
        <color rgb="FF000000"/>
        <rFont val="Arial"/>
        <family val="2"/>
        <charset val="186"/>
      </rPr>
      <t>A</t>
    </r>
    <r>
      <rPr>
        <vertAlign val="subscript"/>
        <sz val="11"/>
        <color rgb="FF000000"/>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</si>
  <si>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</si>
  <si>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</si>
  <si>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rgb="FF000000"/>
        <rFont val="Arial"/>
        <family val="2"/>
        <charset val="186"/>
      </rPr>
      <t>A</t>
    </r>
    <r>
      <rPr>
        <vertAlign val="subscript"/>
        <sz val="11"/>
        <color rgb="FF000000"/>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</si>
  <si>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</si>
  <si>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</si>
  <si>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r>
      <rPr>
        <sz val="11"/>
        <color rgb="FF000000"/>
        <rFont val="Arial"/>
        <family val="2"/>
        <charset val="186"/>
      </rPr>
      <t>A</t>
    </r>
    <r>
      <rPr>
        <vertAlign val="subscript"/>
        <sz val="11"/>
        <color rgb="FF000000"/>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</si>
  <si>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</si>
  <si>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</si>
  <si>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</si>
  <si>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</si>
  <si>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rgb="FF00244D"/>
        <rFont val="Arial"/>
        <family val="2"/>
        <charset val="186"/>
      </rPr>
      <t>1</t>
    </r>
    <r>
      <rPr>
        <b/>
        <sz val="11"/>
        <color rgb="FF00244D"/>
        <rFont val="Arial"/>
        <family val="2"/>
        <charset val="186"/>
      </rPr>
      <t>–A</t>
    </r>
    <r>
      <rPr>
        <b/>
        <vertAlign val="subscript"/>
        <sz val="11"/>
        <color rgb="FF00244D"/>
        <rFont val="Arial"/>
        <family val="2"/>
        <charset val="186"/>
      </rPr>
      <t>5</t>
    </r>
    <r>
      <rPr>
        <b/>
        <sz val="11"/>
        <color rgb="FF00244D"/>
        <rFont val="Arial"/>
        <family val="2"/>
        <charset val="186"/>
      </rPr>
      <t xml:space="preserve"> aplinkybių
</t>
    </r>
  </si>
  <si>
    <t>at year t the GG expenditure growth limiting rule is not applied when at least one of the  A1–A5 escape clauses emerges</t>
  </si>
  <si>
    <r>
      <t xml:space="preserve">Taisyklė
</t>
    </r>
    <r>
      <rPr>
        <i/>
        <sz val="11"/>
        <color rgb="FF000000"/>
        <rFont val="Arial"/>
        <family val="2"/>
        <charset val="186"/>
      </rPr>
      <t>Rule</t>
    </r>
  </si>
  <si>
    <r>
      <t xml:space="preserve">Formulė 
</t>
    </r>
    <r>
      <rPr>
        <i/>
        <sz val="11"/>
        <color rgb="FF000000"/>
        <rFont val="Arial"/>
        <family val="2"/>
        <charset val="186"/>
      </rPr>
      <t>Formula</t>
    </r>
  </si>
  <si>
    <r>
      <t>T</t>
    </r>
    <r>
      <rPr>
        <vertAlign val="subscript"/>
        <sz val="11"/>
        <color rgb="FF000000"/>
        <rFont val="Arial"/>
        <family val="2"/>
        <charset val="186"/>
      </rPr>
      <t>1</t>
    </r>
  </si>
  <si>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</si>
  <si>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</si>
  <si>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</si>
  <si>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</si>
  <si>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</si>
  <si>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</si>
  <si>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</si>
  <si>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</si>
  <si>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</si>
  <si>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</si>
  <si>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</si>
  <si>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</si>
  <si>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</si>
  <si>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</si>
  <si>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</si>
  <si>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</si>
  <si>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</si>
  <si>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</si>
  <si>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</si>
  <si>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</si>
  <si>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</si>
  <si>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</si>
  <si>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</si>
  <si>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</si>
  <si>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</si>
  <si>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</si>
  <si>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</si>
  <si>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</si>
  <si>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</si>
  <si>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</si>
  <si>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</si>
  <si>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</si>
  <si>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 xml:space="preserve">7. VS priskiriamų biudžetų taisyklės
</t>
    </r>
    <r>
      <rPr>
        <b/>
        <i/>
        <sz val="11"/>
        <color rgb="FF00244D"/>
        <rFont val="Arial"/>
        <family val="2"/>
        <charset val="186"/>
      </rPr>
      <t>Rules for the budgets attributable to GG sector</t>
    </r>
  </si>
  <si>
    <r>
      <t>T</t>
    </r>
    <r>
      <rPr>
        <vertAlign val="subscript"/>
        <sz val="11"/>
        <color rgb="FF000000"/>
        <rFont val="Arial"/>
        <family val="2"/>
        <charset val="186"/>
      </rPr>
      <t>31</t>
    </r>
  </si>
  <si>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</si>
  <si>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</si>
  <si>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</si>
  <si>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 xml:space="preserve">Taisyklė savivaldybių (j) asignavimams, kurie viršija 0,3 proc. BVP
</t>
    </r>
    <r>
      <rPr>
        <b/>
        <i/>
        <sz val="11"/>
        <color rgb="FF00244D"/>
        <rFont val="Arial"/>
        <family val="2"/>
        <charset val="186"/>
      </rPr>
      <t>Rule for local governments (j) appropriations of which exceed 0.3 % of GDP</t>
    </r>
  </si>
  <si>
    <r>
      <t>T</t>
    </r>
    <r>
      <rPr>
        <vertAlign val="subscript"/>
        <sz val="11"/>
        <color rgb="FF000000"/>
        <rFont val="Arial"/>
        <family val="2"/>
        <charset val="186"/>
      </rPr>
      <t>32</t>
    </r>
  </si>
  <si>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</si>
  <si>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</si>
  <si>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</si>
  <si>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</si>
  <si>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rgb="FF000000"/>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</si>
  <si>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</si>
  <si>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</si>
  <si>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</si>
  <si>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</si>
  <si>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r>
      <t>Taisyklė</t>
    </r>
    <r>
      <rPr>
        <b/>
        <sz val="11"/>
        <color rgb="FFFF0000"/>
        <rFont val="Arial"/>
        <family val="2"/>
        <charset val="186"/>
      </rPr>
      <t xml:space="preserve"> </t>
    </r>
    <r>
      <rPr>
        <b/>
        <sz val="11"/>
        <color rgb="FF00244D"/>
        <rFont val="Arial"/>
        <family val="2"/>
        <charset val="186"/>
      </rPr>
      <t>VSDF struktūriniam biudžetui</t>
    </r>
  </si>
  <si>
    <t>Rule for VSDF structural budget</t>
  </si>
  <si>
    <r>
      <t>T</t>
    </r>
    <r>
      <rPr>
        <vertAlign val="subscript"/>
        <sz val="11"/>
        <color rgb="FF000000"/>
        <rFont val="Arial"/>
        <family val="2"/>
        <charset val="186"/>
      </rPr>
      <t>5</t>
    </r>
  </si>
  <si>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</si>
  <si>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</si>
  <si>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</si>
  <si>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</si>
  <si>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</si>
  <si>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</si>
  <si>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</si>
  <si>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</si>
  <si>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</si>
  <si>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</si>
  <si>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rgb="FF00244D"/>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</si>
  <si>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rgb="FF00244D"/>
        <rFont val="Arial"/>
        <family val="2"/>
        <charset val="186"/>
      </rPr>
      <t xml:space="preserve"> </t>
    </r>
    <r>
      <rPr>
        <sz val="12"/>
        <color rgb="FF00244D"/>
        <rFont val="Arial"/>
        <family val="2"/>
        <charset val="186"/>
      </rPr>
      <t>SUMMARY</t>
    </r>
  </si>
  <si>
    <t>Nuo 2018 m. sausio 1 d. PSDF biudžetas turi būti planuojamas, tvirtinamas, keičiamas ir vykdomas taip, kad, sprendžiant pagal to biudžeto struktūrinį balanso rodiklį, apskaičiuotą kaupiamuoju principu, jis būtų perteklinis arba subalansuotas</t>
  </si>
  <si>
    <t>2021 pavasario ERS duomenys</t>
  </si>
  <si>
    <t>t−8</t>
  </si>
  <si>
    <t>t−7</t>
  </si>
  <si>
    <t>t−6</t>
  </si>
  <si>
    <t>t−5</t>
  </si>
  <si>
    <t>t−4</t>
  </si>
  <si>
    <t>t−3</t>
  </si>
  <si>
    <t>2021 P</t>
  </si>
  <si>
    <t>* inequality sign is strict, if a difference between both compared sides after rounding is at least 0.1,  else the sign is interpreted as =
** the adjusted aggregate balances of the GG budgets</t>
  </si>
  <si>
    <t>2020K2-2021K1</t>
  </si>
  <si>
    <t>2021 m. pavasario EK projekcijos</t>
  </si>
  <si>
    <t>2020 m. rudens EK projekcijos</t>
  </si>
  <si>
    <t>2020 m. žiemos ERS</t>
  </si>
  <si>
    <t>2021 m. pavasario ERS</t>
  </si>
  <si>
    <t>B3(t) ≥ B3**(t)</t>
  </si>
  <si>
    <t>B3**(t) =</t>
  </si>
  <si>
    <t>B3(t) =</t>
  </si>
  <si>
    <t>Savivaldybių biudžetų atitiktis fiskalinės drausmės taisyklėms bus vertinama 2021 m. birželio mėn.</t>
  </si>
  <si>
    <t>Will be assessed in June 2021</t>
  </si>
  <si>
    <t>2021-05-18 BPE–3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</si>
</sst>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s>
  <fonts count="4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8"/>
      <name val="Arial"/>
      <family val="2"/>
      <charset val="186"/>
    </font>
    <font>
      <sz val="10"/>
      <name val="Arial Baltic"/>
      <charset val="186"/>
    </font>
    <font>
      <b/>
      <sz val="9"/>
      <name val="Arial"/>
      <family val="2"/>
      <charset val="186"/>
    </font>
    <font>
      <sz val="8"/>
      <color rgb="FFFF0000"/>
      <name val="Arial"/>
      <family val="2"/>
      <charset val="186"/>
    </font>
    <font>
      <sz val="11"/>
      <color rgb="FF000000"/>
      <name val="Calibri"/>
      <family val="2"/>
      <charset val="186"/>
    </font>
    <font>
      <b/>
      <vertAlign val="subscript"/>
      <sz val="11"/>
      <color rgb="FF00244D"/>
      <name val="Arial"/>
      <family val="2"/>
      <charset val="186"/>
    </font>
    <font>
      <sz val="10"/>
      <color rgb="FF00244D"/>
      <name val="Arial"/>
      <family val="2"/>
      <charset val="186"/>
    </font>
    <font>
      <b/>
      <sz val="11"/>
      <color rgb="FFFF0000"/>
      <name val="Arial"/>
      <family val="2"/>
      <charset val="186"/>
    </font>
    <font>
      <sz val="11"/>
      <name val="Calibri Light"/>
      <family val="2"/>
      <charset val="186"/>
      <scheme val="major"/>
    </font>
    <font>
      <b/>
      <i/>
      <sz val="11"/>
      <color rgb="FF00244D"/>
      <name val="Arial"/>
      <family val="2"/>
      <charset val="186"/>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2"/>
      <color rgb="FF00244D"/>
      <name val="Arial"/>
      <family val="2"/>
      <charset val="186"/>
    </font>
    <font>
      <sz val="11"/>
      <color rgb="FF535141"/>
      <name val="Arial"/>
      <family val="2"/>
      <charset val="186"/>
    </font>
    <font>
      <sz val="14"/>
      <color rgb="FF535141"/>
      <name val="Arial"/>
      <family val="2"/>
      <charset val="186"/>
    </font>
    <font>
      <i/>
      <sz val="11"/>
      <color rgb="FF00244D"/>
      <name val="Arial"/>
      <family val="2"/>
      <charset val="186"/>
    </font>
    <font>
      <i/>
      <sz val="12"/>
      <color rgb="FF00244D"/>
      <name val="Arial"/>
      <family val="2"/>
      <charset val="186"/>
    </font>
    <font>
      <sz val="14"/>
      <color rgb="FF00244D"/>
      <name val="Arial"/>
      <family val="2"/>
      <charset val="186"/>
    </font>
    <font>
      <i/>
      <u/>
      <sz val="11"/>
      <color rgb="FF00244D"/>
      <name val="Arial"/>
      <family val="2"/>
      <charset val="186"/>
    </font>
    <font>
      <sz val="11"/>
      <color theme="4"/>
      <name val="Arial"/>
      <family val="2"/>
      <charset val="186"/>
    </font>
  </fonts>
  <fills count="11">
    <fill>
      <patternFill patternType="none"/>
    </fill>
    <fill>
      <patternFill patternType="gray125"/>
    </fill>
    <fill>
      <patternFill patternType="solid">
        <fgColor rgb="FFC9D6D9"/>
        <bgColor indexed="64"/>
      </patternFill>
    </fill>
    <fill>
      <patternFill patternType="solid">
        <fgColor rgb="FFC9D6D9"/>
        <bgColor rgb="FF000000"/>
      </patternFill>
    </fill>
    <fill>
      <patternFill patternType="solid">
        <fgColor rgb="FFD1D1D1"/>
        <bgColor rgb="FF000000"/>
      </patternFill>
    </fill>
    <fill>
      <patternFill patternType="solid">
        <fgColor rgb="FFB5DDF0"/>
        <bgColor rgb="FF000000"/>
      </patternFill>
    </fill>
    <fill>
      <patternFill patternType="solid">
        <fgColor rgb="FFF39EA0"/>
        <bgColor rgb="FF000000"/>
      </patternFill>
    </fill>
    <fill>
      <patternFill patternType="solid">
        <fgColor rgb="FFFFFFFF"/>
        <bgColor rgb="FF000000"/>
      </patternFill>
    </fill>
    <fill>
      <patternFill patternType="solid">
        <fgColor theme="0"/>
        <bgColor indexed="64"/>
      </patternFill>
    </fill>
    <fill>
      <patternFill patternType="solid">
        <fgColor rgb="FF00244D"/>
        <bgColor indexed="64"/>
      </patternFill>
    </fill>
    <fill>
      <patternFill patternType="solid">
        <fgColor rgb="FFB5DDF0"/>
        <bgColor indexed="64"/>
      </patternFill>
    </fill>
  </fills>
  <borders count="49">
    <border>
      <left/>
      <right/>
      <top/>
      <bottom/>
      <diagonal/>
    </border>
    <border>
      <left style="medium">
        <color rgb="FF00244D"/>
      </left>
      <right style="medium">
        <color rgb="FF00244D"/>
      </right>
      <top style="medium">
        <color rgb="FF00244D"/>
      </top>
      <bottom style="medium">
        <color rgb="FF00244D"/>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style="thick">
        <color rgb="FF00244D"/>
      </left>
      <right style="medium">
        <color rgb="FF00244D"/>
      </right>
      <top style="thick">
        <color rgb="FF00244D"/>
      </top>
      <bottom style="medium">
        <color rgb="FF00244D"/>
      </bottom>
      <diagonal/>
    </border>
    <border>
      <left style="medium">
        <color rgb="FF00244D"/>
      </left>
      <right style="medium">
        <color rgb="FF00244D"/>
      </right>
      <top style="thick">
        <color rgb="FF00244D"/>
      </top>
      <bottom style="medium">
        <color rgb="FF00244D"/>
      </bottom>
      <diagonal/>
    </border>
    <border>
      <left style="medium">
        <color rgb="FF00244D"/>
      </left>
      <right style="thick">
        <color rgb="FF00244D"/>
      </right>
      <top style="thick">
        <color rgb="FF00244D"/>
      </top>
      <bottom style="medium">
        <color rgb="FF00244D"/>
      </bottom>
      <diagonal/>
    </border>
    <border>
      <left style="thick">
        <color rgb="FF00244D"/>
      </left>
      <right style="medium">
        <color rgb="FF00244D"/>
      </right>
      <top style="medium">
        <color rgb="FF00244D"/>
      </top>
      <bottom style="medium">
        <color rgb="FF00244D"/>
      </bottom>
      <diagonal/>
    </border>
    <border>
      <left style="medium">
        <color rgb="FF00244D"/>
      </left>
      <right style="thick">
        <color rgb="FF00244D"/>
      </right>
      <top style="medium">
        <color rgb="FF00244D"/>
      </top>
      <bottom style="medium">
        <color rgb="FF00244D"/>
      </bottom>
      <diagonal/>
    </border>
    <border>
      <left style="medium">
        <color rgb="FF00244D"/>
      </left>
      <right style="medium">
        <color rgb="FF00244D"/>
      </right>
      <top style="medium">
        <color rgb="FF00244D"/>
      </top>
      <bottom/>
      <diagonal/>
    </border>
    <border>
      <left style="medium">
        <color rgb="FF00244D"/>
      </left>
      <right style="thick">
        <color rgb="FF00244D"/>
      </right>
      <top style="medium">
        <color rgb="FF00244D"/>
      </top>
      <bottom/>
      <diagonal/>
    </border>
    <border>
      <left style="medium">
        <color rgb="FF00244D"/>
      </left>
      <right style="medium">
        <color rgb="FF00244D"/>
      </right>
      <top/>
      <bottom style="medium">
        <color rgb="FF00244D"/>
      </bottom>
      <diagonal/>
    </border>
    <border>
      <left style="medium">
        <color rgb="FF00244D"/>
      </left>
      <right style="thick">
        <color rgb="FF00244D"/>
      </right>
      <top/>
      <bottom style="medium">
        <color rgb="FF00244D"/>
      </bottom>
      <diagonal/>
    </border>
    <border>
      <left style="thick">
        <color rgb="FF00244D"/>
      </left>
      <right style="medium">
        <color rgb="FF00244D"/>
      </right>
      <top style="medium">
        <color rgb="FF00244D"/>
      </top>
      <bottom/>
      <diagonal/>
    </border>
    <border>
      <left style="thick">
        <color rgb="FF00244D"/>
      </left>
      <right style="medium">
        <color rgb="FF00244D"/>
      </right>
      <top/>
      <bottom style="medium">
        <color rgb="FF00244D"/>
      </bottom>
      <diagonal/>
    </border>
    <border>
      <left style="thick">
        <color rgb="FF00244D"/>
      </left>
      <right style="medium">
        <color rgb="FF00244D"/>
      </right>
      <top style="medium">
        <color rgb="FF00244D"/>
      </top>
      <bottom style="thick">
        <color rgb="FF00244D"/>
      </bottom>
      <diagonal/>
    </border>
    <border>
      <left style="medium">
        <color rgb="FF00244D"/>
      </left>
      <right/>
      <top style="medium">
        <color rgb="FF00244D"/>
      </top>
      <bottom style="medium">
        <color rgb="FF00244D"/>
      </bottom>
      <diagonal/>
    </border>
    <border>
      <left/>
      <right style="medium">
        <color rgb="FF00244D"/>
      </right>
      <top style="medium">
        <color rgb="FF00244D"/>
      </top>
      <bottom style="medium">
        <color rgb="FF00244D"/>
      </bottom>
      <diagonal/>
    </border>
    <border>
      <left/>
      <right/>
      <top style="medium">
        <color indexed="64"/>
      </top>
      <bottom style="medium">
        <color rgb="FF00244D"/>
      </bottom>
      <diagonal/>
    </border>
    <border>
      <left/>
      <right/>
      <top style="medium">
        <color rgb="FF00244D"/>
      </top>
      <bottom style="medium">
        <color rgb="FF00244D"/>
      </bottom>
      <diagonal/>
    </border>
    <border>
      <left style="medium">
        <color rgb="FF00244D"/>
      </left>
      <right style="medium">
        <color rgb="FF00244D"/>
      </right>
      <top/>
      <bottom style="thick">
        <color rgb="FF00244D"/>
      </bottom>
      <diagonal/>
    </border>
    <border>
      <left style="medium">
        <color rgb="FF00244D"/>
      </left>
      <right style="thick">
        <color rgb="FF00244D"/>
      </right>
      <top/>
      <bottom style="thick">
        <color rgb="FF00244D"/>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rgb="FF00244D"/>
      </left>
      <right style="medium">
        <color rgb="FF8D8473"/>
      </right>
      <top style="medium">
        <color rgb="FF00244D"/>
      </top>
      <bottom style="medium">
        <color rgb="FF00244D"/>
      </bottom>
      <diagonal/>
    </border>
    <border>
      <left style="medium">
        <color rgb="FF8D8473"/>
      </left>
      <right style="medium">
        <color rgb="FF00244D"/>
      </right>
      <top style="medium">
        <color rgb="FF00244D"/>
      </top>
      <bottom style="medium">
        <color rgb="FF00244D"/>
      </bottom>
      <diagonal/>
    </border>
    <border>
      <left/>
      <right style="thick">
        <color rgb="FF00244D"/>
      </right>
      <top style="medium">
        <color rgb="FF00244D"/>
      </top>
      <bottom style="medium">
        <color rgb="FF00244D"/>
      </bottom>
      <diagonal/>
    </border>
    <border>
      <left style="medium">
        <color rgb="FF00244D"/>
      </left>
      <right style="medium">
        <color rgb="FF00244D"/>
      </right>
      <top/>
      <bottom/>
      <diagonal/>
    </border>
    <border>
      <left style="thick">
        <color rgb="FF00244D"/>
      </left>
      <right style="medium">
        <color rgb="FF00244D"/>
      </right>
      <top/>
      <bottom/>
      <diagonal/>
    </border>
    <border>
      <left style="medium">
        <color rgb="FF00244D"/>
      </left>
      <right style="thick">
        <color rgb="FF00244D"/>
      </right>
      <top/>
      <bottom/>
      <diagonal/>
    </border>
    <border>
      <left/>
      <right style="thick">
        <color rgb="FF00244D"/>
      </right>
      <top style="medium">
        <color rgb="FF00244D"/>
      </top>
      <bottom/>
      <diagonal/>
    </border>
    <border>
      <left/>
      <right style="thick">
        <color rgb="FF00244D"/>
      </right>
      <top/>
      <bottom/>
      <diagonal/>
    </border>
    <border>
      <left/>
      <right style="thick">
        <color rgb="FF00244D"/>
      </right>
      <top/>
      <bottom style="medium">
        <color rgb="FF00244D"/>
      </bottom>
      <diagonal/>
    </border>
    <border>
      <left style="thick">
        <color rgb="FF00244D"/>
      </left>
      <right style="medium">
        <color rgb="FF00244D"/>
      </right>
      <top/>
      <bottom style="thick">
        <color rgb="FF00244D"/>
      </bottom>
      <diagonal/>
    </border>
    <border>
      <left style="medium">
        <color rgb="FF00244D"/>
      </left>
      <right/>
      <top/>
      <bottom style="thick">
        <color rgb="FF00244D"/>
      </bottom>
      <diagonal/>
    </border>
    <border>
      <left/>
      <right/>
      <top/>
      <bottom style="thin">
        <color rgb="FF00244D"/>
      </bottom>
      <diagonal/>
    </border>
    <border>
      <left/>
      <right/>
      <top style="thick">
        <color rgb="FF00244D"/>
      </top>
      <bottom/>
      <diagonal/>
    </border>
    <border>
      <left style="medium">
        <color indexed="64"/>
      </left>
      <right/>
      <top style="medium">
        <color indexed="64"/>
      </top>
      <bottom style="medium">
        <color rgb="FF00244D"/>
      </bottom>
      <diagonal/>
    </border>
    <border>
      <left/>
      <right style="medium">
        <color indexed="64"/>
      </right>
      <top style="medium">
        <color indexed="64"/>
      </top>
      <bottom style="medium">
        <color rgb="FF00244D"/>
      </bottom>
      <diagonal/>
    </border>
    <border>
      <left style="thick">
        <color rgb="FF00244D"/>
      </left>
      <right/>
      <top style="medium">
        <color rgb="FF00244D"/>
      </top>
      <bottom style="medium">
        <color rgb="FF00244D"/>
      </bottom>
      <diagonal/>
    </border>
  </borders>
  <cellStyleXfs count="7">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21" fillId="0" borderId="0"/>
  </cellStyleXfs>
  <cellXfs count="445">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8" fillId="0" borderId="13" xfId="0" applyFont="1" applyFill="1" applyBorder="1" applyAlignment="1">
      <alignment horizontal="right" wrapText="1" indent="1"/>
    </xf>
    <xf numFmtId="0" fontId="8" fillId="5" borderId="14" xfId="0" applyFont="1" applyFill="1" applyBorder="1" applyAlignment="1">
      <alignment horizontal="center" vertical="center"/>
    </xf>
    <xf numFmtId="0" fontId="3" fillId="4" borderId="15"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1" xfId="0" applyFont="1" applyFill="1" applyBorder="1" applyAlignment="1">
      <alignment horizontal="center" vertical="center"/>
    </xf>
    <xf numFmtId="164"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indent="1"/>
    </xf>
    <xf numFmtId="164" fontId="8" fillId="7" borderId="1" xfId="0" applyNumberFormat="1" applyFont="1" applyFill="1" applyBorder="1" applyAlignment="1">
      <alignment horizontal="right" vertical="center" indent="1"/>
    </xf>
    <xf numFmtId="164" fontId="8" fillId="0" borderId="1" xfId="0" applyNumberFormat="1" applyFont="1" applyFill="1" applyBorder="1" applyAlignment="1">
      <alignment horizontal="right" vertical="center" indent="1"/>
    </xf>
    <xf numFmtId="164" fontId="3" fillId="7" borderId="1" xfId="0" applyNumberFormat="1" applyFont="1" applyFill="1" applyBorder="1" applyAlignment="1">
      <alignment horizontal="right" vertical="center" indent="1"/>
    </xf>
    <xf numFmtId="164" fontId="8" fillId="5" borderId="1" xfId="0" applyNumberFormat="1" applyFont="1" applyFill="1" applyBorder="1" applyAlignment="1">
      <alignment horizontal="right" vertical="center" indent="1"/>
    </xf>
    <xf numFmtId="164" fontId="8" fillId="4" borderId="1" xfId="0" applyNumberFormat="1" applyFont="1" applyFill="1" applyBorder="1" applyAlignment="1">
      <alignment horizontal="right" vertical="center" indent="1"/>
    </xf>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168" fontId="8" fillId="6" borderId="1" xfId="0" applyNumberFormat="1" applyFont="1" applyFill="1" applyBorder="1" applyAlignment="1">
      <alignment horizontal="right" vertical="center" indent="1"/>
    </xf>
    <xf numFmtId="164" fontId="16" fillId="7" borderId="1" xfId="0" applyNumberFormat="1" applyFont="1" applyFill="1" applyBorder="1" applyAlignment="1">
      <alignment horizontal="right" vertical="center" indent="1"/>
    </xf>
    <xf numFmtId="0" fontId="18" fillId="0" borderId="0" xfId="0" applyFont="1" applyFill="1" applyBorder="1"/>
    <xf numFmtId="0" fontId="3" fillId="6" borderId="1" xfId="0" applyFont="1" applyFill="1" applyBorder="1"/>
    <xf numFmtId="0" fontId="3" fillId="4" borderId="1" xfId="0" applyFont="1" applyFill="1" applyBorder="1"/>
    <xf numFmtId="0" fontId="3" fillId="5" borderId="1" xfId="0" applyFont="1" applyFill="1" applyBorder="1"/>
    <xf numFmtId="0" fontId="19" fillId="0" borderId="0" xfId="0" applyFont="1" applyFill="1" applyBorder="1" applyAlignment="1">
      <alignment horizontal="right" indent="1"/>
    </xf>
    <xf numFmtId="0" fontId="3" fillId="0" borderId="1" xfId="0" applyFont="1" applyFill="1" applyBorder="1"/>
    <xf numFmtId="166" fontId="20" fillId="0" borderId="0" xfId="0" applyNumberFormat="1" applyFont="1" applyFill="1" applyBorder="1" applyAlignment="1">
      <alignment horizontal="center"/>
    </xf>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64" fontId="8" fillId="0" borderId="1" xfId="0" applyNumberFormat="1" applyFont="1" applyFill="1" applyBorder="1" applyAlignment="1">
      <alignment horizontal="right" vertical="center" wrapText="1" indent="1"/>
    </xf>
    <xf numFmtId="170" fontId="22" fillId="0" borderId="0" xfId="4" applyNumberFormat="1" applyFont="1" applyFill="1" applyBorder="1" applyAlignment="1">
      <alignment horizontal="right"/>
    </xf>
    <xf numFmtId="0" fontId="3" fillId="0" borderId="0" xfId="0" applyFont="1" applyFill="1" applyBorder="1" applyAlignment="1">
      <alignment vertical="center"/>
    </xf>
    <xf numFmtId="0" fontId="7" fillId="7"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7" borderId="0" xfId="0" applyFont="1" applyFill="1" applyBorder="1"/>
    <xf numFmtId="2" fontId="3" fillId="0" borderId="0" xfId="0" applyNumberFormat="1" applyFont="1" applyFill="1" applyBorder="1"/>
    <xf numFmtId="169" fontId="3" fillId="5" borderId="16" xfId="0" applyNumberFormat="1" applyFont="1" applyFill="1" applyBorder="1" applyAlignment="1">
      <alignment horizontal="center" vertical="center"/>
    </xf>
    <xf numFmtId="171" fontId="3" fillId="0" borderId="0" xfId="0" applyNumberFormat="1" applyFont="1" applyFill="1" applyBorder="1"/>
    <xf numFmtId="0" fontId="23" fillId="0" borderId="0" xfId="0" applyFont="1" applyFill="1" applyBorder="1"/>
    <xf numFmtId="0" fontId="24" fillId="0" borderId="0" xfId="0" applyFont="1" applyFill="1" applyBorder="1" applyAlignment="1">
      <alignment vertical="center"/>
    </xf>
    <xf numFmtId="0" fontId="6" fillId="4"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4" borderId="26" xfId="0" applyFont="1" applyFill="1" applyBorder="1" applyAlignment="1">
      <alignment horizontal="center" vertical="center" wrapText="1"/>
    </xf>
    <xf numFmtId="0" fontId="26" fillId="0" borderId="0" xfId="0" applyFont="1" applyFill="1" applyBorder="1"/>
    <xf numFmtId="0" fontId="3" fillId="0" borderId="0" xfId="0" applyFont="1" applyFill="1" applyBorder="1" applyAlignment="1">
      <alignment horizontal="right"/>
    </xf>
    <xf numFmtId="0" fontId="3" fillId="0" borderId="0" xfId="0" quotePrefix="1" applyFont="1" applyFill="1" applyBorder="1" applyAlignment="1">
      <alignment horizontal="right"/>
    </xf>
    <xf numFmtId="173" fontId="8" fillId="4" borderId="1" xfId="0" applyNumberFormat="1" applyFont="1" applyFill="1" applyBorder="1" applyAlignment="1">
      <alignment horizontal="center"/>
    </xf>
    <xf numFmtId="173" fontId="8" fillId="5" borderId="1" xfId="0" applyNumberFormat="1" applyFont="1" applyFill="1" applyBorder="1" applyAlignment="1">
      <alignment horizontal="center"/>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4"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8" fillId="4" borderId="15" xfId="0" applyNumberFormat="1" applyFont="1" applyFill="1" applyBorder="1" applyAlignment="1">
      <alignment horizontal="center" vertical="center" wrapText="1"/>
    </xf>
    <xf numFmtId="1" fontId="8" fillId="5" borderId="16" xfId="0" applyNumberFormat="1" applyFont="1" applyFill="1" applyBorder="1" applyAlignment="1">
      <alignment horizontal="center" vertical="center" wrapText="1"/>
    </xf>
    <xf numFmtId="1" fontId="3" fillId="0" borderId="0" xfId="0" applyNumberFormat="1" applyFont="1" applyFill="1" applyBorder="1"/>
    <xf numFmtId="0" fontId="3" fillId="4" borderId="15" xfId="0" applyFont="1" applyFill="1" applyBorder="1" applyAlignment="1">
      <alignment horizontal="center" vertical="center"/>
    </xf>
    <xf numFmtId="0" fontId="8" fillId="5" borderId="16" xfId="0" applyFont="1" applyFill="1" applyBorder="1" applyAlignment="1">
      <alignment horizontal="center" vertical="center"/>
    </xf>
    <xf numFmtId="169" fontId="16" fillId="0" borderId="0" xfId="0" applyNumberFormat="1" applyFont="1" applyFill="1" applyBorder="1"/>
    <xf numFmtId="164" fontId="3" fillId="4" borderId="1" xfId="0" applyNumberFormat="1" applyFont="1" applyFill="1" applyBorder="1" applyAlignment="1">
      <alignment horizontal="center"/>
    </xf>
    <xf numFmtId="164" fontId="3" fillId="5" borderId="1" xfId="0" applyNumberFormat="1" applyFont="1" applyFill="1" applyBorder="1" applyAlignment="1">
      <alignment horizontal="center"/>
    </xf>
    <xf numFmtId="0" fontId="16" fillId="0" borderId="0" xfId="0" applyFont="1" applyFill="1" applyBorder="1" applyAlignment="1">
      <alignment horizontal="right"/>
    </xf>
    <xf numFmtId="164" fontId="8" fillId="5" borderId="1" xfId="0" applyNumberFormat="1" applyFont="1" applyFill="1" applyBorder="1" applyAlignment="1">
      <alignment horizontal="center"/>
    </xf>
    <xf numFmtId="0" fontId="8" fillId="0" borderId="0" xfId="0" applyFont="1" applyFill="1" applyBorder="1" applyAlignment="1">
      <alignment horizontal="right"/>
    </xf>
    <xf numFmtId="0" fontId="8" fillId="0" borderId="0" xfId="0" applyFont="1" applyFill="1" applyBorder="1" applyAlignment="1">
      <alignment horizontal="right" wrapText="1"/>
    </xf>
    <xf numFmtId="164" fontId="3" fillId="0" borderId="28" xfId="0" applyNumberFormat="1" applyFont="1" applyFill="1" applyBorder="1" applyAlignment="1">
      <alignment horizontal="center"/>
    </xf>
    <xf numFmtId="164" fontId="3" fillId="0" borderId="30" xfId="0" applyNumberFormat="1" applyFont="1" applyFill="1" applyBorder="1" applyAlignment="1">
      <alignment horizontal="center"/>
    </xf>
    <xf numFmtId="164" fontId="3" fillId="0" borderId="31" xfId="0" applyNumberFormat="1" applyFont="1" applyFill="1" applyBorder="1" applyAlignment="1">
      <alignment horizontal="center"/>
    </xf>
    <xf numFmtId="164" fontId="3" fillId="0" borderId="32" xfId="0" applyNumberFormat="1" applyFont="1" applyFill="1" applyBorder="1" applyAlignment="1">
      <alignment horizontal="center"/>
    </xf>
    <xf numFmtId="0" fontId="6" fillId="4" borderId="1" xfId="0" applyFont="1" applyFill="1" applyBorder="1" applyAlignment="1">
      <alignment horizontal="center" vertical="center" wrapText="1"/>
    </xf>
    <xf numFmtId="166" fontId="8" fillId="4" borderId="1" xfId="0" applyNumberFormat="1" applyFont="1" applyFill="1" applyBorder="1" applyAlignment="1">
      <alignment horizontal="center"/>
    </xf>
    <xf numFmtId="166" fontId="8" fillId="5" borderId="1" xfId="0" applyNumberFormat="1" applyFont="1" applyFill="1" applyBorder="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left" wrapText="1"/>
    </xf>
    <xf numFmtId="0" fontId="8" fillId="4" borderId="15" xfId="0" applyFont="1" applyFill="1" applyBorder="1" applyAlignment="1">
      <alignment horizontal="center" vertical="center" wrapText="1"/>
    </xf>
    <xf numFmtId="0" fontId="3" fillId="0" borderId="13" xfId="0" applyFont="1" applyFill="1" applyBorder="1" applyAlignment="1">
      <alignment horizontal="center" wrapText="1"/>
    </xf>
    <xf numFmtId="0" fontId="8" fillId="4" borderId="22" xfId="0" applyFont="1" applyFill="1" applyBorder="1" applyAlignment="1">
      <alignment horizontal="center" vertical="center" wrapText="1"/>
    </xf>
    <xf numFmtId="0" fontId="3" fillId="5" borderId="39" xfId="0" applyFont="1" applyFill="1" applyBorder="1" applyAlignment="1">
      <alignment horizontal="center" vertical="top" wrapText="1"/>
    </xf>
    <xf numFmtId="0" fontId="3" fillId="4" borderId="36" xfId="0" applyFont="1" applyFill="1" applyBorder="1" applyAlignment="1">
      <alignment horizontal="center" wrapText="1"/>
    </xf>
    <xf numFmtId="0" fontId="31" fillId="4" borderId="1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8" fillId="0" borderId="22" xfId="0" applyNumberFormat="1" applyFont="1" applyFill="1" applyBorder="1" applyAlignment="1">
      <alignment vertical="center"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164" fontId="8" fillId="4" borderId="22" xfId="0" applyNumberFormat="1" applyFont="1" applyFill="1" applyBorder="1" applyAlignment="1">
      <alignment vertical="center"/>
    </xf>
    <xf numFmtId="164" fontId="8" fillId="4" borderId="23" xfId="0" applyNumberFormat="1" applyFont="1" applyFill="1" applyBorder="1" applyAlignment="1">
      <alignment vertical="center" wrapText="1"/>
    </xf>
    <xf numFmtId="1" fontId="3" fillId="4" borderId="36" xfId="0" applyNumberFormat="1" applyFont="1" applyFill="1" applyBorder="1" applyAlignment="1">
      <alignment horizontal="center" vertical="center" wrapText="1"/>
    </xf>
    <xf numFmtId="0" fontId="6" fillId="5" borderId="38" xfId="0" applyFont="1" applyFill="1" applyBorder="1" applyAlignment="1">
      <alignment horizontal="center" vertical="center" wrapText="1"/>
    </xf>
    <xf numFmtId="0" fontId="29" fillId="5" borderId="38" xfId="0" applyFont="1" applyFill="1" applyBorder="1" applyAlignment="1">
      <alignment horizontal="center" vertical="center" wrapText="1"/>
    </xf>
    <xf numFmtId="169" fontId="3" fillId="5" borderId="38" xfId="0" applyNumberFormat="1" applyFont="1" applyFill="1" applyBorder="1" applyAlignment="1">
      <alignment horizontal="center" vertical="center"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2" fillId="0" borderId="0" xfId="0" applyFont="1" applyFill="1" applyBorder="1"/>
    <xf numFmtId="0" fontId="3" fillId="0" borderId="1" xfId="0" applyFont="1" applyFill="1" applyBorder="1" applyAlignment="1">
      <alignment horizontal="left" vertical="center" wrapText="1"/>
    </xf>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164" fontId="8" fillId="0" borderId="1" xfId="0" applyNumberFormat="1" applyFont="1" applyFill="1" applyBorder="1" applyAlignment="1">
      <alignment vertical="center" wrapText="1"/>
    </xf>
    <xf numFmtId="0" fontId="8" fillId="0" borderId="22" xfId="0" applyFont="1" applyFill="1" applyBorder="1" applyAlignment="1">
      <alignment vertical="center"/>
    </xf>
    <xf numFmtId="0" fontId="26" fillId="0" borderId="0" xfId="0" applyFont="1" applyFill="1" applyBorder="1" applyAlignment="1">
      <alignment wrapText="1"/>
    </xf>
    <xf numFmtId="0" fontId="26" fillId="0" borderId="45" xfId="0" applyFont="1" applyFill="1" applyBorder="1" applyAlignment="1">
      <alignment wrapText="1"/>
    </xf>
    <xf numFmtId="0" fontId="26" fillId="0" borderId="0" xfId="0" applyFont="1" applyFill="1" applyBorder="1" applyAlignment="1">
      <alignment vertical="top" wrapText="1"/>
    </xf>
    <xf numFmtId="1" fontId="30" fillId="5" borderId="18" xfId="0" applyNumberFormat="1" applyFont="1" applyFill="1" applyBorder="1" applyAlignment="1">
      <alignment horizontal="center" vertical="center" wrapText="1"/>
    </xf>
    <xf numFmtId="0" fontId="29"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169" fontId="6" fillId="5" borderId="16" xfId="0" applyNumberFormat="1" applyFont="1" applyFill="1" applyBorder="1" applyAlignment="1">
      <alignment horizontal="center" vertical="center"/>
    </xf>
    <xf numFmtId="169" fontId="29" fillId="5" borderId="18" xfId="0" applyNumberFormat="1" applyFont="1" applyFill="1" applyBorder="1" applyAlignment="1">
      <alignment horizontal="center" vertical="center"/>
    </xf>
    <xf numFmtId="0" fontId="6" fillId="4" borderId="15" xfId="0" applyFont="1" applyFill="1" applyBorder="1" applyAlignment="1">
      <alignment horizontal="center" vertical="center" wrapText="1"/>
    </xf>
    <xf numFmtId="169" fontId="6" fillId="5" borderId="27" xfId="0" applyNumberFormat="1" applyFont="1" applyFill="1" applyBorder="1" applyAlignment="1">
      <alignment horizontal="center" vertical="center"/>
    </xf>
    <xf numFmtId="1" fontId="3" fillId="5" borderId="38" xfId="0" applyNumberFormat="1" applyFont="1" applyFill="1" applyBorder="1" applyAlignment="1">
      <alignment horizontal="center" vertical="center" wrapText="1"/>
    </xf>
    <xf numFmtId="0" fontId="29" fillId="4"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169" fontId="30" fillId="5" borderId="18" xfId="0" applyNumberFormat="1" applyFont="1" applyFill="1" applyBorder="1" applyAlignment="1">
      <alignment horizontal="center" vertical="center" wrapText="1"/>
    </xf>
    <xf numFmtId="169" fontId="30" fillId="5" borderId="18" xfId="0" applyNumberFormat="1" applyFont="1" applyFill="1" applyBorder="1" applyAlignment="1">
      <alignment horizontal="center" vertical="center"/>
    </xf>
    <xf numFmtId="0" fontId="3" fillId="3" borderId="13" xfId="0" applyFont="1" applyFill="1" applyBorder="1" applyAlignment="1">
      <alignment horizontal="left" wrapText="1"/>
    </xf>
    <xf numFmtId="0" fontId="3" fillId="4" borderId="1" xfId="0" applyFont="1" applyFill="1" applyBorder="1" applyAlignment="1">
      <alignment horizontal="center" vertical="center"/>
    </xf>
    <xf numFmtId="0" fontId="3" fillId="5" borderId="14" xfId="0" applyFont="1" applyFill="1" applyBorder="1" applyAlignment="1">
      <alignment horizontal="center" vertical="center"/>
    </xf>
    <xf numFmtId="164" fontId="3" fillId="0" borderId="29" xfId="0" applyNumberFormat="1" applyFont="1" applyFill="1" applyBorder="1" applyAlignment="1">
      <alignment horizontal="center"/>
    </xf>
    <xf numFmtId="1" fontId="8" fillId="4" borderId="36" xfId="0" applyNumberFormat="1" applyFont="1" applyFill="1" applyBorder="1" applyAlignment="1">
      <alignment horizontal="center" vertical="center" wrapText="1"/>
    </xf>
    <xf numFmtId="1" fontId="8" fillId="5" borderId="38"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Fill="1" applyBorder="1"/>
    <xf numFmtId="1" fontId="30" fillId="4" borderId="17" xfId="0" applyNumberFormat="1" applyFont="1" applyFill="1" applyBorder="1" applyAlignment="1">
      <alignment horizontal="center" vertical="center" wrapText="1"/>
    </xf>
    <xf numFmtId="172" fontId="31" fillId="5" borderId="18" xfId="0" applyNumberFormat="1" applyFont="1" applyFill="1" applyBorder="1" applyAlignment="1">
      <alignment horizontal="center" vertical="center" wrapText="1"/>
    </xf>
    <xf numFmtId="1" fontId="34" fillId="0" borderId="0" xfId="0" applyNumberFormat="1" applyFont="1" applyAlignment="1">
      <alignment horizontal="center"/>
    </xf>
    <xf numFmtId="0" fontId="28" fillId="0" borderId="0" xfId="0" applyFont="1"/>
    <xf numFmtId="0" fontId="6" fillId="4" borderId="36" xfId="0" applyFont="1" applyFill="1" applyBorder="1" applyAlignment="1">
      <alignment horizontal="center" vertical="center" wrapText="1"/>
    </xf>
    <xf numFmtId="0" fontId="29" fillId="4" borderId="36"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172" fontId="8" fillId="5" borderId="38" xfId="0" applyNumberFormat="1" applyFont="1" applyFill="1" applyBorder="1" applyAlignment="1">
      <alignment horizontal="center" wrapText="1"/>
    </xf>
    <xf numFmtId="1" fontId="3" fillId="4" borderId="36" xfId="0" applyNumberFormat="1" applyFont="1" applyFill="1" applyBorder="1" applyAlignment="1">
      <alignment horizontal="center" wrapText="1"/>
    </xf>
    <xf numFmtId="169" fontId="3" fillId="5" borderId="38" xfId="0" applyNumberFormat="1" applyFont="1" applyFill="1" applyBorder="1" applyAlignment="1">
      <alignment horizontal="center"/>
    </xf>
    <xf numFmtId="0" fontId="3" fillId="8" borderId="0" xfId="0" applyFont="1" applyFill="1" applyBorder="1"/>
    <xf numFmtId="0" fontId="3" fillId="8" borderId="15" xfId="0" applyFont="1" applyFill="1" applyBorder="1" applyAlignment="1">
      <alignment horizontal="right" wrapText="1" indent="1"/>
    </xf>
    <xf numFmtId="0" fontId="30" fillId="8" borderId="17" xfId="0" applyFont="1" applyFill="1" applyBorder="1" applyAlignment="1">
      <alignment horizontal="right" wrapText="1" indent="1"/>
    </xf>
    <xf numFmtId="0" fontId="30" fillId="8" borderId="17" xfId="0" applyFont="1" applyFill="1" applyBorder="1" applyAlignment="1">
      <alignment horizontal="justify" vertical="top" wrapText="1"/>
    </xf>
    <xf numFmtId="0" fontId="31" fillId="8" borderId="17" xfId="0" applyFont="1" applyFill="1" applyBorder="1" applyAlignment="1">
      <alignment horizontal="justify" vertical="top" wrapText="1"/>
    </xf>
    <xf numFmtId="1" fontId="30" fillId="4" borderId="7" xfId="0" applyNumberFormat="1" applyFont="1" applyFill="1" applyBorder="1" applyAlignment="1">
      <alignment horizontal="center" vertical="center" wrapText="1"/>
    </xf>
    <xf numFmtId="1" fontId="31" fillId="4" borderId="17" xfId="0" applyNumberFormat="1" applyFont="1" applyFill="1" applyBorder="1" applyAlignment="1">
      <alignment horizontal="center" vertical="center"/>
    </xf>
    <xf numFmtId="0" fontId="31" fillId="5" borderId="18"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4" borderId="36" xfId="0" applyFont="1" applyFill="1" applyBorder="1" applyAlignment="1">
      <alignment horizontal="center" vertical="center" wrapText="1"/>
    </xf>
    <xf numFmtId="169" fontId="3" fillId="5" borderId="16" xfId="0" applyNumberFormat="1" applyFont="1" applyFill="1" applyBorder="1" applyAlignment="1">
      <alignment horizontal="center" vertical="center" wrapText="1"/>
    </xf>
    <xf numFmtId="169" fontId="30" fillId="4" borderId="36" xfId="0" applyNumberFormat="1" applyFont="1" applyFill="1" applyBorder="1" applyAlignment="1">
      <alignment horizontal="center" vertical="center" wrapText="1"/>
    </xf>
    <xf numFmtId="0" fontId="3" fillId="4" borderId="2"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5" borderId="40" xfId="0" applyFont="1" applyFill="1" applyBorder="1" applyAlignment="1">
      <alignment horizontal="center" vertical="top" wrapText="1"/>
    </xf>
    <xf numFmtId="0" fontId="8" fillId="5" borderId="38" xfId="0" applyFont="1" applyFill="1" applyBorder="1" applyAlignment="1">
      <alignment horizontal="center" vertical="center"/>
    </xf>
    <xf numFmtId="0" fontId="8" fillId="0" borderId="1" xfId="0" applyFont="1" applyFill="1" applyBorder="1" applyAlignment="1">
      <alignment horizontal="left" vertical="center" wrapText="1"/>
    </xf>
    <xf numFmtId="0" fontId="29" fillId="4" borderId="36" xfId="0" applyFont="1" applyFill="1" applyBorder="1" applyAlignment="1">
      <alignment horizontal="center" vertical="center"/>
    </xf>
    <xf numFmtId="0" fontId="29" fillId="5" borderId="38" xfId="0" applyFont="1" applyFill="1" applyBorder="1" applyAlignment="1">
      <alignment horizontal="center" vertical="center"/>
    </xf>
    <xf numFmtId="0" fontId="8" fillId="5" borderId="16"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0" fillId="5" borderId="38" xfId="0" applyFont="1" applyFill="1" applyBorder="1" applyAlignment="1">
      <alignment horizontal="center" vertical="center" wrapText="1"/>
    </xf>
    <xf numFmtId="0" fontId="3" fillId="4" borderId="36" xfId="0" applyFont="1" applyFill="1" applyBorder="1" applyAlignment="1">
      <alignment horizontal="center" vertical="top" wrapText="1"/>
    </xf>
    <xf numFmtId="0" fontId="30" fillId="4" borderId="36" xfId="0" applyFont="1" applyFill="1" applyBorder="1" applyAlignment="1">
      <alignment horizontal="center" vertical="top" wrapText="1"/>
    </xf>
    <xf numFmtId="0" fontId="30" fillId="5" borderId="40" xfId="0" applyFont="1" applyFill="1" applyBorder="1" applyAlignment="1">
      <alignment horizontal="center" vertical="top" wrapText="1"/>
    </xf>
    <xf numFmtId="0" fontId="30" fillId="4" borderId="17" xfId="0" applyFont="1" applyFill="1" applyBorder="1" applyAlignment="1">
      <alignment horizontal="center" vertical="top" wrapText="1"/>
    </xf>
    <xf numFmtId="0" fontId="30" fillId="5" borderId="41" xfId="0" applyFont="1" applyFill="1" applyBorder="1" applyAlignment="1">
      <alignment horizontal="center" vertical="top" wrapText="1"/>
    </xf>
    <xf numFmtId="0" fontId="30" fillId="4" borderId="5" xfId="0" applyFont="1" applyFill="1" applyBorder="1" applyAlignment="1">
      <alignment horizontal="center" vertical="top" wrapText="1"/>
    </xf>
    <xf numFmtId="0" fontId="30" fillId="4" borderId="7" xfId="0" applyFont="1" applyFill="1" applyBorder="1" applyAlignment="1">
      <alignment horizontal="center" vertical="top" wrapText="1"/>
    </xf>
    <xf numFmtId="0" fontId="3" fillId="5" borderId="38" xfId="0" applyFont="1" applyFill="1" applyBorder="1" applyAlignment="1">
      <alignment horizontal="center" vertical="top" wrapText="1"/>
    </xf>
    <xf numFmtId="0" fontId="35" fillId="0" borderId="0" xfId="0" applyFont="1" applyFill="1" applyBorder="1"/>
    <xf numFmtId="0" fontId="31" fillId="5" borderId="38" xfId="0" applyFont="1" applyFill="1" applyBorder="1" applyAlignment="1">
      <alignment horizontal="center" vertical="center"/>
    </xf>
    <xf numFmtId="169" fontId="30" fillId="4" borderId="17" xfId="0" applyNumberFormat="1" applyFont="1" applyFill="1" applyBorder="1" applyAlignment="1">
      <alignment horizontal="center" vertical="center"/>
    </xf>
    <xf numFmtId="0" fontId="3" fillId="8" borderId="2" xfId="0" applyFont="1" applyFill="1" applyBorder="1" applyAlignment="1">
      <alignment vertical="top" wrapText="1"/>
    </xf>
    <xf numFmtId="0" fontId="3" fillId="8" borderId="4" xfId="0" applyFont="1" applyFill="1" applyBorder="1" applyAlignment="1">
      <alignment vertical="top" wrapText="1"/>
    </xf>
    <xf numFmtId="0" fontId="3" fillId="8" borderId="5" xfId="0" applyFont="1" applyFill="1" applyBorder="1" applyAlignment="1">
      <alignment vertical="center" wrapText="1"/>
    </xf>
    <xf numFmtId="0" fontId="3" fillId="8" borderId="6" xfId="0" applyFont="1" applyFill="1" applyBorder="1" applyAlignment="1">
      <alignment vertical="top" wrapText="1"/>
    </xf>
    <xf numFmtId="0" fontId="3" fillId="8" borderId="7" xfId="0" applyFont="1" applyFill="1" applyBorder="1" applyAlignment="1">
      <alignment vertical="top" wrapText="1"/>
    </xf>
    <xf numFmtId="0" fontId="3" fillId="8" borderId="9" xfId="0" applyFont="1" applyFill="1" applyBorder="1" applyAlignment="1">
      <alignment vertical="top" wrapText="1"/>
    </xf>
    <xf numFmtId="0" fontId="3" fillId="8" borderId="5" xfId="0" applyFont="1" applyFill="1" applyBorder="1" applyAlignment="1">
      <alignment vertical="top" wrapText="1"/>
    </xf>
    <xf numFmtId="169" fontId="30" fillId="4" borderId="17" xfId="0" applyNumberFormat="1" applyFont="1" applyFill="1" applyBorder="1" applyAlignment="1">
      <alignment horizontal="center" vertical="top" wrapText="1"/>
    </xf>
    <xf numFmtId="0" fontId="31" fillId="5" borderId="38" xfId="0" applyFont="1" applyFill="1" applyBorder="1" applyAlignment="1">
      <alignment horizontal="center" vertical="top" wrapText="1"/>
    </xf>
    <xf numFmtId="0" fontId="30" fillId="8" borderId="17" xfId="0" applyFont="1" applyFill="1" applyBorder="1" applyAlignment="1">
      <alignment vertical="top" wrapText="1"/>
    </xf>
    <xf numFmtId="0" fontId="8" fillId="8" borderId="15" xfId="0" applyFont="1" applyFill="1" applyBorder="1" applyAlignment="1">
      <alignment vertical="top" wrapText="1"/>
    </xf>
    <xf numFmtId="0" fontId="31" fillId="8" borderId="7" xfId="0" applyFont="1" applyFill="1" applyBorder="1" applyAlignment="1">
      <alignment vertical="top" wrapText="1"/>
    </xf>
    <xf numFmtId="0" fontId="31" fillId="8" borderId="36" xfId="0" applyFont="1" applyFill="1" applyBorder="1" applyAlignment="1">
      <alignment vertical="top" wrapText="1"/>
    </xf>
    <xf numFmtId="0" fontId="30" fillId="5" borderId="41"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0" fillId="0" borderId="0" xfId="0" applyFont="1" applyFill="1" applyBorder="1" applyAlignment="1">
      <alignment horizontal="right" indent="1"/>
    </xf>
    <xf numFmtId="166" fontId="30" fillId="0" borderId="5" xfId="0" applyNumberFormat="1" applyFont="1" applyFill="1" applyBorder="1" applyAlignment="1"/>
    <xf numFmtId="0" fontId="33" fillId="0" borderId="5" xfId="0" applyFont="1" applyFill="1" applyBorder="1" applyAlignment="1"/>
    <xf numFmtId="0" fontId="8" fillId="5" borderId="38" xfId="0" applyFont="1" applyFill="1" applyBorder="1" applyAlignment="1">
      <alignment horizontal="center" vertical="center" wrapText="1"/>
    </xf>
    <xf numFmtId="0" fontId="3" fillId="4" borderId="36" xfId="0" applyFont="1" applyFill="1" applyBorder="1" applyAlignment="1">
      <alignment horizontal="center" vertical="center"/>
    </xf>
    <xf numFmtId="0" fontId="3" fillId="8" borderId="37" xfId="0" applyFont="1" applyFill="1" applyBorder="1" applyAlignment="1">
      <alignment horizontal="right" vertical="top" wrapText="1" indent="1"/>
    </xf>
    <xf numFmtId="0" fontId="31" fillId="8" borderId="20" xfId="0" applyFont="1" applyFill="1" applyBorder="1" applyAlignment="1">
      <alignment horizontal="right" vertical="top" wrapText="1" indent="1"/>
    </xf>
    <xf numFmtId="0" fontId="30" fillId="8" borderId="42" xfId="0" applyFont="1" applyFill="1" applyBorder="1" applyAlignment="1">
      <alignment horizontal="right" vertical="top" wrapText="1" indent="1"/>
    </xf>
    <xf numFmtId="0" fontId="8" fillId="8" borderId="19" xfId="0" applyFont="1" applyFill="1" applyBorder="1" applyAlignment="1">
      <alignment horizontal="right" vertical="top" wrapText="1" indent="1"/>
    </xf>
    <xf numFmtId="0" fontId="30" fillId="4" borderId="26"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 fillId="8" borderId="19" xfId="0" applyFont="1" applyFill="1" applyBorder="1" applyAlignment="1">
      <alignment horizontal="right" vertical="top" wrapText="1" indent="1"/>
    </xf>
    <xf numFmtId="0" fontId="30" fillId="8" borderId="20" xfId="0" applyFont="1" applyFill="1" applyBorder="1" applyAlignment="1">
      <alignment horizontal="right" vertical="top" wrapText="1" indent="1"/>
    </xf>
    <xf numFmtId="0" fontId="30" fillId="0" borderId="0" xfId="0" applyFont="1" applyFill="1" applyBorder="1" applyAlignment="1">
      <alignment horizontal="left"/>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20" xfId="0" applyFont="1" applyFill="1" applyBorder="1" applyAlignment="1">
      <alignment horizontal="center" vertical="top"/>
    </xf>
    <xf numFmtId="164" fontId="8" fillId="4"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8" borderId="15" xfId="0"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6" fillId="0" borderId="0" xfId="0" applyFont="1"/>
    <xf numFmtId="0" fontId="37" fillId="0" borderId="0" xfId="1" applyFont="1" applyFill="1" applyBorder="1" applyAlignment="1" applyProtection="1"/>
    <xf numFmtId="0" fontId="37" fillId="0" borderId="0" xfId="1" applyFont="1" applyFill="1" applyBorder="1"/>
    <xf numFmtId="0" fontId="26" fillId="0" borderId="0" xfId="0" applyFont="1" applyBorder="1" applyAlignment="1">
      <alignment wrapText="1"/>
    </xf>
    <xf numFmtId="0" fontId="32" fillId="0" borderId="0" xfId="0" applyFont="1" applyBorder="1" applyAlignment="1">
      <alignment horizontal="left" wrapText="1"/>
    </xf>
    <xf numFmtId="0" fontId="35" fillId="0" borderId="0" xfId="0" applyFont="1" applyFill="1"/>
    <xf numFmtId="1" fontId="35" fillId="0" borderId="0" xfId="0" applyNumberFormat="1" applyFont="1" applyFill="1" applyAlignment="1">
      <alignment horizontal="center"/>
    </xf>
    <xf numFmtId="0" fontId="36" fillId="0" borderId="0" xfId="0" applyFont="1" applyFill="1"/>
    <xf numFmtId="164" fontId="36" fillId="0" borderId="1" xfId="0" applyNumberFormat="1" applyFont="1" applyFill="1" applyBorder="1" applyAlignment="1">
      <alignment horizontal="right" vertical="center" indent="1"/>
    </xf>
    <xf numFmtId="0" fontId="9" fillId="0" borderId="0" xfId="3" applyFont="1" applyFill="1" applyBorder="1"/>
    <xf numFmtId="166" fontId="36" fillId="0" borderId="0" xfId="0" applyNumberFormat="1" applyFont="1"/>
    <xf numFmtId="169" fontId="36" fillId="0" borderId="0" xfId="0" applyNumberFormat="1" applyFont="1"/>
    <xf numFmtId="0" fontId="30" fillId="0" borderId="0" xfId="0" applyFont="1" applyFill="1" applyBorder="1" applyAlignment="1"/>
    <xf numFmtId="0" fontId="6"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3" fillId="5" borderId="16" xfId="0" applyFont="1" applyFill="1" applyBorder="1" applyAlignment="1">
      <alignment horizontal="center" vertical="top" wrapText="1"/>
    </xf>
    <xf numFmtId="0" fontId="30" fillId="5" borderId="38" xfId="0" applyFont="1" applyFill="1" applyBorder="1" applyAlignment="1">
      <alignment horizontal="center" vertical="top" wrapText="1"/>
    </xf>
    <xf numFmtId="0" fontId="30" fillId="5" borderId="18" xfId="0" applyFont="1" applyFill="1" applyBorder="1" applyAlignment="1">
      <alignment horizontal="center" vertical="top" wrapText="1"/>
    </xf>
    <xf numFmtId="0" fontId="13" fillId="0" borderId="2" xfId="0" applyFont="1" applyBorder="1"/>
    <xf numFmtId="0" fontId="13" fillId="0" borderId="3" xfId="0" applyFont="1" applyBorder="1"/>
    <xf numFmtId="0" fontId="36" fillId="0" borderId="4" xfId="0" applyFont="1" applyBorder="1"/>
    <xf numFmtId="0" fontId="38" fillId="2" borderId="6" xfId="0" applyFont="1" applyFill="1" applyBorder="1" applyAlignment="1">
      <alignment horizontal="left" indent="2"/>
    </xf>
    <xf numFmtId="0" fontId="13" fillId="0" borderId="5" xfId="0" applyFont="1" applyBorder="1"/>
    <xf numFmtId="0" fontId="13" fillId="0" borderId="0" xfId="0" applyFont="1" applyBorder="1"/>
    <xf numFmtId="0" fontId="36" fillId="0" borderId="6" xfId="0" applyFont="1" applyBorder="1"/>
    <xf numFmtId="0" fontId="39" fillId="0" borderId="6" xfId="0" applyFont="1" applyBorder="1" applyAlignment="1"/>
    <xf numFmtId="14" fontId="36" fillId="0" borderId="0" xfId="0" applyNumberFormat="1" applyFont="1"/>
    <xf numFmtId="0" fontId="40" fillId="2" borderId="6" xfId="0" applyFont="1" applyFill="1" applyBorder="1" applyAlignment="1"/>
    <xf numFmtId="0" fontId="13" fillId="0" borderId="0" xfId="1" applyFont="1" applyBorder="1" applyAlignment="1" applyProtection="1">
      <alignment horizontal="justify" vertical="top" wrapText="1"/>
    </xf>
    <xf numFmtId="0" fontId="39" fillId="0" borderId="6" xfId="1" applyFont="1" applyBorder="1" applyAlignment="1" applyProtection="1">
      <alignment horizontal="justify" vertical="top" wrapText="1"/>
    </xf>
    <xf numFmtId="0" fontId="43" fillId="2" borderId="6" xfId="0" applyFont="1" applyFill="1" applyBorder="1" applyAlignment="1"/>
    <xf numFmtId="0" fontId="4" fillId="0" borderId="0" xfId="1" applyFont="1" applyBorder="1" applyAlignment="1" applyProtection="1"/>
    <xf numFmtId="0" fontId="41" fillId="0" borderId="5" xfId="0" applyFont="1" applyBorder="1"/>
    <xf numFmtId="0" fontId="44" fillId="0" borderId="0" xfId="1" applyFont="1" applyBorder="1" applyAlignment="1" applyProtection="1"/>
    <xf numFmtId="0" fontId="13" fillId="0" borderId="6" xfId="0" applyFont="1" applyBorder="1"/>
    <xf numFmtId="0" fontId="13" fillId="0" borderId="7" xfId="0" applyFont="1" applyBorder="1"/>
    <xf numFmtId="0" fontId="13" fillId="0" borderId="8" xfId="0" applyFont="1" applyBorder="1"/>
    <xf numFmtId="0" fontId="36" fillId="0" borderId="9" xfId="0" applyFont="1" applyBorder="1"/>
    <xf numFmtId="0" fontId="13" fillId="0" borderId="0" xfId="0" applyFont="1"/>
    <xf numFmtId="0" fontId="37" fillId="0" borderId="0" xfId="1" applyFont="1" applyBorder="1" applyAlignment="1" applyProtection="1">
      <alignment horizontal="left" indent="2"/>
    </xf>
    <xf numFmtId="0" fontId="8" fillId="0" borderId="1" xfId="0" applyFont="1" applyFill="1" applyBorder="1" applyAlignment="1">
      <alignment vertical="center"/>
    </xf>
    <xf numFmtId="164" fontId="8" fillId="10" borderId="1" xfId="0" applyNumberFormat="1" applyFont="1" applyFill="1" applyBorder="1" applyAlignment="1">
      <alignment vertical="center" wrapText="1"/>
    </xf>
    <xf numFmtId="164" fontId="8" fillId="4" borderId="1" xfId="0" applyNumberFormat="1" applyFont="1" applyFill="1" applyBorder="1" applyAlignment="1">
      <alignment vertical="center" wrapText="1"/>
    </xf>
    <xf numFmtId="166" fontId="8" fillId="0" borderId="0" xfId="0" applyNumberFormat="1" applyFont="1" applyFill="1" applyBorder="1"/>
    <xf numFmtId="164" fontId="8" fillId="5" borderId="23" xfId="0" applyNumberFormat="1" applyFont="1" applyFill="1" applyBorder="1" applyAlignment="1">
      <alignment vertical="center" wrapText="1"/>
    </xf>
    <xf numFmtId="164" fontId="8" fillId="0" borderId="22" xfId="0" applyNumberFormat="1" applyFont="1" applyFill="1" applyBorder="1" applyAlignment="1">
      <alignment vertical="center"/>
    </xf>
    <xf numFmtId="0" fontId="36" fillId="9" borderId="22" xfId="0" applyFont="1" applyFill="1" applyBorder="1" applyAlignment="1">
      <alignment horizontal="center"/>
    </xf>
    <xf numFmtId="0" fontId="36" fillId="9" borderId="25" xfId="0" applyFont="1" applyFill="1" applyBorder="1" applyAlignment="1">
      <alignment horizontal="center"/>
    </xf>
    <xf numFmtId="0" fontId="36" fillId="9" borderId="23" xfId="0" applyFont="1" applyFill="1" applyBorder="1" applyAlignment="1">
      <alignment horizontal="center"/>
    </xf>
    <xf numFmtId="0" fontId="45" fillId="0" borderId="5" xfId="0" applyFont="1" applyFill="1" applyBorder="1" applyAlignment="1">
      <alignment horizontal="center"/>
    </xf>
    <xf numFmtId="0" fontId="45" fillId="0" borderId="0" xfId="0" applyFont="1" applyFill="1" applyBorder="1" applyAlignment="1">
      <alignment horizontal="center"/>
    </xf>
    <xf numFmtId="0" fontId="38" fillId="2" borderId="5" xfId="0" applyFont="1" applyFill="1" applyBorder="1" applyAlignment="1">
      <alignment horizontal="left" indent="2"/>
    </xf>
    <xf numFmtId="0" fontId="38" fillId="2" borderId="0" xfId="0" applyFont="1" applyFill="1" applyBorder="1" applyAlignment="1">
      <alignment horizontal="left" indent="2"/>
    </xf>
    <xf numFmtId="0" fontId="6" fillId="3" borderId="13" xfId="0" applyFont="1" applyFill="1" applyBorder="1" applyAlignment="1">
      <alignment horizontal="right" vertical="top" wrapText="1" indent="2"/>
    </xf>
    <xf numFmtId="0" fontId="6" fillId="3" borderId="1" xfId="0" applyFont="1" applyFill="1" applyBorder="1" applyAlignment="1">
      <alignment horizontal="right" vertical="top" wrapText="1" indent="2"/>
    </xf>
    <xf numFmtId="0" fontId="6" fillId="3" borderId="14" xfId="0" applyFont="1" applyFill="1" applyBorder="1" applyAlignment="1">
      <alignment horizontal="right" vertical="top" wrapText="1" indent="2"/>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3" fillId="5" borderId="22" xfId="0" applyFont="1" applyFill="1" applyBorder="1" applyAlignment="1">
      <alignment horizontal="center" wrapText="1"/>
    </xf>
    <xf numFmtId="0" fontId="3" fillId="5" borderId="23" xfId="0" applyFont="1" applyFill="1" applyBorder="1" applyAlignment="1">
      <alignment horizontal="center" wrapText="1"/>
    </xf>
    <xf numFmtId="0" fontId="3" fillId="8" borderId="19" xfId="0" applyFont="1" applyFill="1" applyBorder="1" applyAlignment="1">
      <alignment horizontal="left" vertical="top" wrapText="1"/>
    </xf>
    <xf numFmtId="0" fontId="3" fillId="8" borderId="37" xfId="0" applyFont="1" applyFill="1" applyBorder="1" applyAlignment="1">
      <alignment horizontal="left" vertical="top" wrapText="1"/>
    </xf>
    <xf numFmtId="0" fontId="30" fillId="8" borderId="37" xfId="0" applyFont="1" applyFill="1" applyBorder="1" applyAlignment="1">
      <alignment horizontal="left" vertical="top" wrapText="1"/>
    </xf>
    <xf numFmtId="0" fontId="30" fillId="8" borderId="20" xfId="0" applyFont="1" applyFill="1" applyBorder="1" applyAlignment="1">
      <alignment horizontal="left" vertical="top" wrapText="1"/>
    </xf>
    <xf numFmtId="0" fontId="8" fillId="8" borderId="2" xfId="0" applyFont="1" applyFill="1" applyBorder="1" applyAlignment="1">
      <alignment horizontal="center" vertical="top" wrapText="1"/>
    </xf>
    <xf numFmtId="0" fontId="8" fillId="8" borderId="39" xfId="0" applyFont="1" applyFill="1" applyBorder="1" applyAlignment="1">
      <alignment horizontal="center" vertical="top" wrapText="1"/>
    </xf>
    <xf numFmtId="0" fontId="3" fillId="8" borderId="13" xfId="0" applyFont="1" applyFill="1" applyBorder="1" applyAlignment="1">
      <alignment horizontal="right" vertical="top" wrapText="1" indent="1"/>
    </xf>
    <xf numFmtId="0" fontId="3" fillId="8" borderId="19" xfId="0" applyFont="1" applyFill="1" applyBorder="1" applyAlignment="1">
      <alignment horizontal="right" vertical="top" wrapText="1" inden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3" fillId="0" borderId="22" xfId="0" applyFont="1" applyFill="1" applyBorder="1" applyAlignment="1">
      <alignment horizontal="center" wrapText="1"/>
    </xf>
    <xf numFmtId="0" fontId="3" fillId="0" borderId="35" xfId="0" applyFont="1" applyFill="1" applyBorder="1" applyAlignment="1">
      <alignment horizontal="center" wrapText="1"/>
    </xf>
    <xf numFmtId="0" fontId="30" fillId="8" borderId="20" xfId="0" applyFont="1" applyFill="1" applyBorder="1" applyAlignment="1">
      <alignment horizontal="right" vertical="top" wrapText="1" indent="1"/>
    </xf>
    <xf numFmtId="0" fontId="30" fillId="8" borderId="13" xfId="0" applyFont="1" applyFill="1" applyBorder="1" applyAlignment="1">
      <alignment horizontal="right" vertical="top" wrapText="1" indent="1"/>
    </xf>
    <xf numFmtId="0" fontId="31" fillId="8" borderId="7" xfId="0" applyFont="1" applyFill="1" applyBorder="1" applyAlignment="1">
      <alignment horizontal="center" vertical="top" wrapText="1"/>
    </xf>
    <xf numFmtId="0" fontId="31" fillId="8" borderId="41" xfId="0" applyFont="1" applyFill="1" applyBorder="1" applyAlignment="1">
      <alignment horizontal="center" vertical="top" wrapText="1"/>
    </xf>
    <xf numFmtId="0" fontId="30" fillId="0" borderId="0" xfId="0" applyFont="1" applyFill="1" applyBorder="1" applyAlignment="1">
      <alignment horizontal="left"/>
    </xf>
    <xf numFmtId="0" fontId="33" fillId="0" borderId="5" xfId="0" applyFont="1" applyFill="1" applyBorder="1" applyAlignment="1">
      <alignment horizontal="left"/>
    </xf>
    <xf numFmtId="0" fontId="33" fillId="0" borderId="0" xfId="0" applyFont="1" applyFill="1" applyBorder="1" applyAlignment="1">
      <alignment horizontal="left"/>
    </xf>
    <xf numFmtId="0" fontId="6" fillId="2" borderId="46"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5" xfId="0" applyFont="1" applyFill="1" applyBorder="1" applyAlignment="1">
      <alignment vertical="center" wrapText="1"/>
    </xf>
    <xf numFmtId="0" fontId="8" fillId="0" borderId="17" xfId="0" applyFont="1" applyFill="1" applyBorder="1" applyAlignment="1">
      <alignment vertical="center" wrapText="1"/>
    </xf>
    <xf numFmtId="0" fontId="8" fillId="0" borderId="15" xfId="0" applyFont="1" applyFill="1" applyBorder="1" applyAlignment="1">
      <alignment horizontal="left" vertical="center"/>
    </xf>
    <xf numFmtId="0" fontId="8" fillId="0" borderId="17" xfId="0" applyFont="1" applyFill="1" applyBorder="1" applyAlignment="1">
      <alignment horizontal="left" vertical="center"/>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8" fillId="0" borderId="17" xfId="0" applyFont="1" applyFill="1" applyBorder="1" applyAlignment="1">
      <alignment vertical="center"/>
    </xf>
    <xf numFmtId="0" fontId="30" fillId="0" borderId="5" xfId="0" applyFont="1" applyFill="1" applyBorder="1" applyAlignment="1">
      <alignment horizontal="left"/>
    </xf>
    <xf numFmtId="0" fontId="30" fillId="0" borderId="5" xfId="0" applyFont="1" applyFill="1" applyBorder="1" applyAlignment="1">
      <alignment horizontal="left" wrapText="1"/>
    </xf>
    <xf numFmtId="0" fontId="30" fillId="0" borderId="0" xfId="0" applyFont="1" applyFill="1" applyBorder="1" applyAlignment="1">
      <alignment horizontal="left" wrapText="1"/>
    </xf>
    <xf numFmtId="0" fontId="31" fillId="0" borderId="22"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3" fillId="0" borderId="0"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0" borderId="15"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7" xfId="0" applyFont="1" applyFill="1" applyBorder="1" applyAlignment="1">
      <alignment horizontal="left" vertical="center" inden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42" xfId="0" applyFont="1" applyFill="1" applyBorder="1" applyAlignment="1">
      <alignment horizontal="center" vertical="top"/>
    </xf>
    <xf numFmtId="0" fontId="8" fillId="8" borderId="15" xfId="0" applyFont="1" applyFill="1" applyBorder="1" applyAlignment="1">
      <alignment horizontal="justify" vertical="top" wrapText="1"/>
    </xf>
    <xf numFmtId="0" fontId="8" fillId="8" borderId="36" xfId="0" applyFont="1" applyFill="1" applyBorder="1" applyAlignment="1">
      <alignment horizontal="justify" vertical="top" wrapText="1"/>
    </xf>
    <xf numFmtId="0" fontId="8" fillId="0" borderId="1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3" fillId="0" borderId="20" xfId="0" applyFont="1" applyFill="1" applyBorder="1" applyAlignment="1">
      <alignment horizontal="center" vertical="top"/>
    </xf>
    <xf numFmtId="0" fontId="3" fillId="8" borderId="15" xfId="0" applyFont="1" applyFill="1" applyBorder="1" applyAlignment="1">
      <alignment horizontal="justify" vertical="top" wrapText="1"/>
    </xf>
    <xf numFmtId="0" fontId="3" fillId="8" borderId="36" xfId="0" applyFont="1" applyFill="1" applyBorder="1" applyAlignment="1">
      <alignment horizontal="justify" vertical="top" wrapText="1"/>
    </xf>
    <xf numFmtId="0" fontId="3" fillId="0" borderId="36" xfId="0" applyFont="1" applyFill="1" applyBorder="1" applyAlignment="1">
      <alignment horizontal="center" vertical="center" wrapText="1"/>
    </xf>
    <xf numFmtId="0" fontId="29" fillId="8" borderId="36" xfId="0" applyFont="1" applyFill="1" applyBorder="1" applyAlignment="1">
      <alignment horizontal="left" vertical="top" wrapText="1"/>
    </xf>
    <xf numFmtId="0" fontId="29" fillId="8" borderId="26" xfId="0" applyFont="1" applyFill="1" applyBorder="1" applyAlignment="1">
      <alignment horizontal="left" vertical="top" wrapText="1"/>
    </xf>
    <xf numFmtId="0" fontId="37" fillId="0" borderId="0" xfId="1" applyFont="1" applyFill="1" applyBorder="1" applyAlignment="1" applyProtection="1">
      <alignment horizontal="left"/>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4" xfId="0" applyFont="1" applyFill="1" applyBorder="1" applyAlignment="1">
      <alignment horizontal="center" vertical="center"/>
    </xf>
    <xf numFmtId="0" fontId="3" fillId="0" borderId="48"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9" xfId="0" applyFont="1" applyFill="1" applyBorder="1" applyAlignment="1">
      <alignment horizontal="center"/>
    </xf>
    <xf numFmtId="0" fontId="3" fillId="0" borderId="20" xfId="0" applyFont="1" applyFill="1" applyBorder="1" applyAlignment="1">
      <alignment horizontal="center"/>
    </xf>
    <xf numFmtId="0" fontId="26" fillId="0" borderId="0" xfId="0" applyFont="1" applyFill="1" applyBorder="1" applyAlignment="1">
      <alignment horizontal="left" wrapText="1"/>
    </xf>
    <xf numFmtId="0" fontId="3" fillId="0" borderId="1" xfId="0" applyFont="1" applyFill="1" applyBorder="1" applyAlignment="1">
      <alignment horizontal="center"/>
    </xf>
    <xf numFmtId="173" fontId="8" fillId="0" borderId="1" xfId="0" applyNumberFormat="1" applyFont="1" applyFill="1" applyBorder="1" applyAlignment="1">
      <alignment horizontal="center"/>
    </xf>
    <xf numFmtId="0" fontId="3" fillId="8" borderId="2" xfId="0" applyFont="1" applyFill="1" applyBorder="1" applyAlignment="1">
      <alignment horizontal="center" wrapText="1"/>
    </xf>
    <xf numFmtId="0" fontId="3" fillId="8" borderId="39" xfId="0" applyFont="1" applyFill="1" applyBorder="1" applyAlignment="1">
      <alignment horizontal="center" wrapText="1"/>
    </xf>
    <xf numFmtId="173" fontId="3" fillId="0" borderId="1" xfId="0" applyNumberFormat="1" applyFont="1" applyFill="1" applyBorder="1" applyAlignment="1">
      <alignment horizontal="center"/>
    </xf>
    <xf numFmtId="0" fontId="6" fillId="8" borderId="15" xfId="0" applyFont="1" applyFill="1" applyBorder="1" applyAlignment="1">
      <alignment horizontal="justify" vertical="top" wrapText="1"/>
    </xf>
    <xf numFmtId="0" fontId="6" fillId="8" borderId="36" xfId="0" applyFont="1" applyFill="1" applyBorder="1" applyAlignment="1">
      <alignment horizontal="justify" vertical="top"/>
    </xf>
    <xf numFmtId="0" fontId="8" fillId="0" borderId="26" xfId="0" applyFont="1" applyFill="1" applyBorder="1" applyAlignment="1">
      <alignment horizontal="center" vertical="center" wrapText="1"/>
    </xf>
    <xf numFmtId="0" fontId="30" fillId="8" borderId="7" xfId="0" applyFont="1" applyFill="1" applyBorder="1" applyAlignment="1">
      <alignment horizontal="center" wrapText="1"/>
    </xf>
    <xf numFmtId="0" fontId="30" fillId="8" borderId="41" xfId="0" applyFont="1" applyFill="1" applyBorder="1" applyAlignment="1">
      <alignment horizontal="center" wrapText="1"/>
    </xf>
    <xf numFmtId="0" fontId="3" fillId="0" borderId="15" xfId="0" applyFont="1" applyFill="1" applyBorder="1" applyAlignment="1">
      <alignment horizontal="center"/>
    </xf>
    <xf numFmtId="0" fontId="3" fillId="0" borderId="17" xfId="0" applyFont="1" applyFill="1" applyBorder="1" applyAlignment="1">
      <alignment horizontal="center"/>
    </xf>
    <xf numFmtId="0" fontId="32" fillId="0" borderId="44" xfId="0" applyFont="1" applyFill="1" applyBorder="1" applyAlignment="1">
      <alignment horizontal="left" wrapText="1"/>
    </xf>
    <xf numFmtId="0" fontId="3" fillId="4" borderId="33" xfId="0" applyFont="1" applyFill="1" applyBorder="1" applyAlignment="1">
      <alignment horizontal="center" wrapText="1"/>
    </xf>
    <xf numFmtId="0" fontId="3" fillId="4" borderId="34" xfId="0" applyFont="1" applyFill="1" applyBorder="1" applyAlignment="1">
      <alignment horizontal="center" wrapText="1"/>
    </xf>
    <xf numFmtId="0" fontId="3" fillId="5" borderId="33" xfId="0" applyFont="1" applyFill="1" applyBorder="1" applyAlignment="1">
      <alignment horizontal="center" wrapText="1"/>
    </xf>
    <xf numFmtId="0" fontId="3" fillId="5" borderId="34" xfId="0" applyFont="1" applyFill="1" applyBorder="1" applyAlignment="1">
      <alignment horizontal="center" wrapText="1"/>
    </xf>
    <xf numFmtId="0" fontId="3" fillId="6" borderId="22" xfId="0" applyFont="1" applyFill="1" applyBorder="1" applyAlignment="1">
      <alignment horizontal="center"/>
    </xf>
    <xf numFmtId="0" fontId="3" fillId="6" borderId="23" xfId="0" applyFont="1" applyFill="1" applyBorder="1" applyAlignment="1">
      <alignment horizontal="center"/>
    </xf>
    <xf numFmtId="2" fontId="3" fillId="4" borderId="33" xfId="0" applyNumberFormat="1" applyFont="1" applyFill="1" applyBorder="1" applyAlignment="1">
      <alignment horizontal="center" wrapText="1"/>
    </xf>
    <xf numFmtId="2" fontId="3" fillId="4" borderId="34" xfId="0" applyNumberFormat="1" applyFont="1" applyFill="1" applyBorder="1" applyAlignment="1">
      <alignment horizontal="center" wrapText="1"/>
    </xf>
    <xf numFmtId="2" fontId="3" fillId="6" borderId="22" xfId="0" applyNumberFormat="1" applyFont="1" applyFill="1" applyBorder="1" applyAlignment="1">
      <alignment horizontal="center"/>
    </xf>
    <xf numFmtId="2" fontId="3" fillId="6" borderId="23" xfId="0" applyNumberFormat="1" applyFont="1" applyFill="1" applyBorder="1" applyAlignment="1">
      <alignment horizontal="center"/>
    </xf>
    <xf numFmtId="164" fontId="8" fillId="4" borderId="1" xfId="0" applyNumberFormat="1" applyFont="1" applyFill="1" applyBorder="1" applyAlignment="1">
      <alignment horizontal="center"/>
    </xf>
    <xf numFmtId="0" fontId="26" fillId="0" borderId="45" xfId="0" applyFont="1" applyFill="1" applyBorder="1" applyAlignment="1">
      <alignment horizontal="lef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8" fillId="3" borderId="14" xfId="0" applyFont="1" applyFill="1" applyBorder="1" applyAlignment="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7" fillId="0" borderId="19" xfId="0" applyFont="1" applyFill="1" applyBorder="1" applyAlignment="1">
      <alignment horizontal="center" vertical="top"/>
    </xf>
    <xf numFmtId="0" fontId="17" fillId="0" borderId="37" xfId="0" applyFont="1" applyFill="1" applyBorder="1" applyAlignment="1">
      <alignment horizontal="center" vertical="top"/>
    </xf>
    <xf numFmtId="0" fontId="17" fillId="0" borderId="20" xfId="0" applyFont="1" applyFill="1" applyBorder="1" applyAlignment="1">
      <alignment horizontal="center" vertical="top"/>
    </xf>
    <xf numFmtId="0" fontId="17" fillId="0" borderId="13" xfId="0" applyFont="1" applyFill="1" applyBorder="1" applyAlignment="1">
      <alignment horizontal="center" vertical="top"/>
    </xf>
    <xf numFmtId="0" fontId="16" fillId="0" borderId="1" xfId="0" applyFont="1" applyFill="1" applyBorder="1" applyAlignment="1">
      <alignment horizontal="center" vertical="center" wrapText="1"/>
    </xf>
    <xf numFmtId="0" fontId="3" fillId="8" borderId="15" xfId="0" applyFont="1" applyFill="1" applyBorder="1" applyAlignment="1">
      <alignment horizontal="left" vertical="top" wrapText="1"/>
    </xf>
    <xf numFmtId="0" fontId="3" fillId="8" borderId="36" xfId="0" applyFont="1" applyFill="1" applyBorder="1" applyAlignment="1">
      <alignment horizontal="left" vertical="top" wrapText="1"/>
    </xf>
    <xf numFmtId="0" fontId="8" fillId="3" borderId="1" xfId="0" applyFont="1" applyFill="1" applyBorder="1" applyAlignment="1">
      <alignment horizontal="center" wrapText="1"/>
    </xf>
    <xf numFmtId="0" fontId="8" fillId="3" borderId="14" xfId="0"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29" fillId="8" borderId="17" xfId="0" applyFont="1" applyFill="1" applyBorder="1" applyAlignment="1">
      <alignment horizontal="left" vertical="top" wrapText="1"/>
    </xf>
    <xf numFmtId="0" fontId="30" fillId="8" borderId="36" xfId="0" applyFont="1" applyFill="1" applyBorder="1" applyAlignment="1">
      <alignment horizontal="left" vertical="top" wrapText="1"/>
    </xf>
    <xf numFmtId="0" fontId="30" fillId="8" borderId="17" xfId="0" applyFont="1" applyFill="1" applyBorder="1" applyAlignment="1">
      <alignment horizontal="left" vertical="top" wrapText="1"/>
    </xf>
    <xf numFmtId="0" fontId="3" fillId="0" borderId="13" xfId="0" applyFont="1" applyFill="1" applyBorder="1" applyAlignment="1">
      <alignment horizontal="center" vertical="top"/>
    </xf>
    <xf numFmtId="0" fontId="3" fillId="0" borderId="21" xfId="0" applyFont="1" applyFill="1" applyBorder="1" applyAlignment="1">
      <alignment horizontal="center" vertical="top"/>
    </xf>
    <xf numFmtId="0" fontId="29" fillId="8" borderId="26" xfId="0" applyFont="1" applyFill="1" applyBorder="1" applyAlignment="1">
      <alignment horizontal="justify" vertical="top" wrapText="1"/>
    </xf>
    <xf numFmtId="0" fontId="6" fillId="8" borderId="43" xfId="0" applyFont="1" applyFill="1" applyBorder="1" applyAlignment="1">
      <alignment horizontal="justify" vertical="top" wrapText="1"/>
    </xf>
    <xf numFmtId="0" fontId="8" fillId="8" borderId="15" xfId="0" applyFont="1" applyFill="1" applyBorder="1" applyAlignment="1">
      <alignment horizontal="left" vertical="top" wrapText="1"/>
    </xf>
    <xf numFmtId="0" fontId="8" fillId="8" borderId="36" xfId="0" applyFont="1" applyFill="1" applyBorder="1" applyAlignment="1">
      <alignment horizontal="left" vertical="top" wrapText="1"/>
    </xf>
    <xf numFmtId="0" fontId="3" fillId="8" borderId="1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6" fillId="8" borderId="2" xfId="0" applyFont="1" applyFill="1" applyBorder="1" applyAlignment="1">
      <alignment horizontal="justify" vertical="top" wrapText="1"/>
    </xf>
    <xf numFmtId="0" fontId="31" fillId="8" borderId="36" xfId="0" applyFont="1" applyFill="1" applyBorder="1" applyAlignment="1">
      <alignment horizontal="left" vertical="top" wrapText="1"/>
    </xf>
    <xf numFmtId="0" fontId="31" fillId="8" borderId="17" xfId="0" applyFont="1" applyFill="1" applyBorder="1" applyAlignment="1">
      <alignment horizontal="left" vertical="top" wrapText="1"/>
    </xf>
    <xf numFmtId="0" fontId="8" fillId="8" borderId="15" xfId="0" applyFont="1" applyFill="1" applyBorder="1" applyAlignment="1">
      <alignment horizontal="center" vertical="center"/>
    </xf>
    <xf numFmtId="0" fontId="8" fillId="8" borderId="36" xfId="0" applyFont="1" applyFill="1" applyBorder="1" applyAlignment="1">
      <alignment horizontal="center" vertical="center"/>
    </xf>
    <xf numFmtId="0" fontId="8" fillId="8" borderId="17" xfId="0" applyFont="1" applyFill="1" applyBorder="1" applyAlignment="1">
      <alignment horizontal="center" vertical="center"/>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8" borderId="15" xfId="0" applyFont="1" applyFill="1" applyBorder="1" applyAlignment="1">
      <alignment horizontal="left" vertical="top" wrapText="1"/>
    </xf>
    <xf numFmtId="169" fontId="30" fillId="5" borderId="38" xfId="0" applyNumberFormat="1"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8" fillId="2" borderId="5" xfId="0" applyFont="1" applyFill="1" applyBorder="1" applyAlignment="1">
      <alignment horizontal="center" wrapText="1"/>
    </xf>
    <xf numFmtId="0" fontId="38" fillId="2" borderId="0" xfId="0" applyFont="1" applyFill="1" applyBorder="1" applyAlignment="1">
      <alignment horizontal="center" wrapText="1"/>
    </xf>
  </cellXfs>
  <cellStyles count="7">
    <cellStyle name="Hipersaitas" xfId="1" builtinId="8"/>
    <cellStyle name="Įprastas" xfId="0" builtinId="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VLK PSDFvykd" xfId="6" xr:uid="{91D00095-F419-45F2-A0D1-7330231AD8DA}"/>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160020</xdr:colOff>
      <xdr:row>0</xdr:row>
      <xdr:rowOff>0</xdr:rowOff>
    </xdr:from>
    <xdr:to>
      <xdr:col>3</xdr:col>
      <xdr:colOff>4876800</xdr:colOff>
      <xdr:row>0</xdr:row>
      <xdr:rowOff>1371600</xdr:rowOff>
    </xdr:to>
    <xdr:pic>
      <xdr:nvPicPr>
        <xdr:cNvPr id="3" name="Paveikslėlis 2">
          <a:hlinkClick xmlns:r="http://schemas.openxmlformats.org/officeDocument/2006/relationships" r:id="rId1"/>
          <a:extLst>
            <a:ext uri="{FF2B5EF4-FFF2-40B4-BE49-F238E27FC236}">
              <a16:creationId xmlns:a16="http://schemas.microsoft.com/office/drawing/2014/main" id="{3CFE4070-9260-4178-BC29-0000F674C50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441960" y="0"/>
          <a:ext cx="50292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21</xdr:row>
      <xdr:rowOff>127014</xdr:rowOff>
    </xdr:from>
    <xdr:to>
      <xdr:col>4</xdr:col>
      <xdr:colOff>599327</xdr:colOff>
      <xdr:row>23</xdr:row>
      <xdr:rowOff>42808</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29</xdr:row>
      <xdr:rowOff>279621</xdr:rowOff>
    </xdr:from>
    <xdr:to>
      <xdr:col>4</xdr:col>
      <xdr:colOff>1269615</xdr:colOff>
      <xdr:row>29</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twoCellAnchor editAs="oneCell">
    <xdr:from>
      <xdr:col>3</xdr:col>
      <xdr:colOff>420031</xdr:colOff>
      <xdr:row>31</xdr:row>
      <xdr:rowOff>356194</xdr:rowOff>
    </xdr:from>
    <xdr:to>
      <xdr:col>4</xdr:col>
      <xdr:colOff>869859</xdr:colOff>
      <xdr:row>31</xdr:row>
      <xdr:rowOff>791968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m:t>
                        </m:r>
                      </m:deg>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e>
                            </m:d>
                          </m:num>
                          <m:den>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−8)</m:t>
                            </m:r>
                          </m:den>
                        </m:f>
                      </m:e>
                    </m:rad>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Y_np10t=√(10&amp;(Y^∗ (t+2))/(Y^∗ (t−8)))𝑑_𝑡−1</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25</xdr:row>
      <xdr:rowOff>200504</xdr:rowOff>
    </xdr:from>
    <xdr:to>
      <xdr:col>4</xdr:col>
      <xdr:colOff>890124</xdr:colOff>
      <xdr:row>27</xdr:row>
      <xdr:rowOff>182910</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11</xdr:row>
      <xdr:rowOff>78342</xdr:rowOff>
    </xdr:from>
    <xdr:to>
      <xdr:col>4</xdr:col>
      <xdr:colOff>1025270</xdr:colOff>
      <xdr:row>13</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5</xdr:row>
      <xdr:rowOff>177586</xdr:rowOff>
    </xdr:from>
    <xdr:to>
      <xdr:col>4</xdr:col>
      <xdr:colOff>1194660</xdr:colOff>
      <xdr:row>7</xdr:row>
      <xdr:rowOff>354793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616215</xdr:colOff>
      <xdr:row>30</xdr:row>
      <xdr:rowOff>71382</xdr:rowOff>
    </xdr:from>
    <xdr:to>
      <xdr:col>4</xdr:col>
      <xdr:colOff>888288</xdr:colOff>
      <xdr:row>31</xdr:row>
      <xdr:rowOff>224746</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rgb="FF00244D"/>
  </sheetPr>
  <dimension ref="C1:G32"/>
  <sheetViews>
    <sheetView showGridLines="0" showRowColHeaders="0" tabSelected="1" workbookViewId="0">
      <selection activeCell="B1" sqref="B1"/>
    </sheetView>
  </sheetViews>
  <sheetFormatPr defaultColWidth="10" defaultRowHeight="13.8" x14ac:dyDescent="0.25"/>
  <cols>
    <col min="1" max="1" width="0.44140625" style="226" customWidth="1"/>
    <col min="2" max="2" width="3.5546875" style="226" customWidth="1"/>
    <col min="3" max="3" width="4.5546875" style="264" customWidth="1"/>
    <col min="4" max="4" width="99.6640625" style="264" customWidth="1"/>
    <col min="5" max="5" width="3.6640625" style="226" customWidth="1"/>
    <col min="6" max="6" width="10" style="226"/>
    <col min="7" max="7" width="10.5546875" style="226" customWidth="1"/>
    <col min="8" max="16384" width="10" style="226"/>
  </cols>
  <sheetData>
    <row r="1" spans="3:7" ht="109.5" customHeight="1" thickBot="1" x14ac:dyDescent="0.3">
      <c r="C1" s="272"/>
      <c r="D1" s="273"/>
      <c r="E1" s="274"/>
    </row>
    <row r="2" spans="3:7" x14ac:dyDescent="0.25">
      <c r="C2" s="244"/>
      <c r="D2" s="245"/>
      <c r="E2" s="246"/>
    </row>
    <row r="3" spans="3:7" ht="35.25" customHeight="1" x14ac:dyDescent="0.25">
      <c r="C3" s="443" t="s">
        <v>0</v>
      </c>
      <c r="D3" s="444"/>
      <c r="E3" s="247"/>
    </row>
    <row r="4" spans="3:7" x14ac:dyDescent="0.25">
      <c r="C4" s="248"/>
      <c r="D4" s="249"/>
      <c r="E4" s="250"/>
    </row>
    <row r="5" spans="3:7" ht="16.2" customHeight="1" x14ac:dyDescent="0.25">
      <c r="C5" s="275" t="s">
        <v>314</v>
      </c>
      <c r="D5" s="276"/>
      <c r="E5" s="251"/>
      <c r="G5" s="252"/>
    </row>
    <row r="6" spans="3:7" x14ac:dyDescent="0.25">
      <c r="C6" s="248"/>
      <c r="D6" s="249"/>
      <c r="E6" s="250"/>
    </row>
    <row r="7" spans="3:7" ht="17.399999999999999" x14ac:dyDescent="0.3">
      <c r="C7" s="277" t="s">
        <v>1</v>
      </c>
      <c r="D7" s="278"/>
      <c r="E7" s="253"/>
    </row>
    <row r="8" spans="3:7" x14ac:dyDescent="0.25">
      <c r="C8" s="248"/>
      <c r="D8" s="249"/>
      <c r="E8" s="250"/>
    </row>
    <row r="9" spans="3:7" ht="171.75" customHeight="1" x14ac:dyDescent="0.25">
      <c r="C9" s="248"/>
      <c r="D9" s="254" t="s">
        <v>292</v>
      </c>
      <c r="E9" s="255"/>
    </row>
    <row r="10" spans="3:7" x14ac:dyDescent="0.25">
      <c r="C10" s="248"/>
      <c r="D10" s="249"/>
      <c r="E10" s="250"/>
    </row>
    <row r="11" spans="3:7" ht="17.399999999999999" x14ac:dyDescent="0.3">
      <c r="C11" s="277" t="s">
        <v>293</v>
      </c>
      <c r="D11" s="278"/>
      <c r="E11" s="253"/>
    </row>
    <row r="12" spans="3:7" x14ac:dyDescent="0.25">
      <c r="C12" s="248"/>
      <c r="D12" s="249"/>
      <c r="E12" s="250"/>
    </row>
    <row r="13" spans="3:7" x14ac:dyDescent="0.25">
      <c r="C13" s="248"/>
      <c r="D13" s="265" t="s">
        <v>2</v>
      </c>
      <c r="E13" s="250"/>
    </row>
    <row r="14" spans="3:7" x14ac:dyDescent="0.25">
      <c r="C14" s="248"/>
      <c r="D14" s="249"/>
      <c r="E14" s="250"/>
    </row>
    <row r="15" spans="3:7" ht="17.399999999999999" x14ac:dyDescent="0.3">
      <c r="C15" s="277" t="s">
        <v>3</v>
      </c>
      <c r="D15" s="278"/>
      <c r="E15" s="253"/>
    </row>
    <row r="16" spans="3:7" x14ac:dyDescent="0.25">
      <c r="C16" s="248"/>
      <c r="D16" s="249"/>
      <c r="E16" s="250"/>
    </row>
    <row r="17" spans="3:5" x14ac:dyDescent="0.25">
      <c r="C17" s="248"/>
      <c r="D17" s="265" t="s">
        <v>4</v>
      </c>
      <c r="E17" s="250"/>
    </row>
    <row r="18" spans="3:5" x14ac:dyDescent="0.25">
      <c r="C18" s="248"/>
      <c r="D18" s="265" t="s">
        <v>5</v>
      </c>
      <c r="E18" s="250"/>
    </row>
    <row r="19" spans="3:5" x14ac:dyDescent="0.25">
      <c r="C19" s="248"/>
      <c r="D19" s="249"/>
      <c r="E19" s="250"/>
    </row>
    <row r="20" spans="3:5" ht="17.399999999999999" x14ac:dyDescent="0.3">
      <c r="C20" s="277" t="s">
        <v>6</v>
      </c>
      <c r="D20" s="278"/>
      <c r="E20" s="253"/>
    </row>
    <row r="21" spans="3:5" x14ac:dyDescent="0.25">
      <c r="C21" s="248"/>
      <c r="D21" s="249"/>
      <c r="E21" s="250"/>
    </row>
    <row r="22" spans="3:5" x14ac:dyDescent="0.25">
      <c r="C22" s="248"/>
      <c r="D22" s="265" t="s">
        <v>7</v>
      </c>
      <c r="E22" s="250"/>
    </row>
    <row r="23" spans="3:5" x14ac:dyDescent="0.25">
      <c r="C23" s="248"/>
      <c r="D23" s="265" t="s">
        <v>8</v>
      </c>
      <c r="E23" s="250"/>
    </row>
    <row r="24" spans="3:5" x14ac:dyDescent="0.25">
      <c r="C24" s="248"/>
      <c r="D24" s="265" t="s">
        <v>9</v>
      </c>
      <c r="E24" s="250"/>
    </row>
    <row r="25" spans="3:5" x14ac:dyDescent="0.25">
      <c r="C25" s="248"/>
      <c r="D25" s="249"/>
      <c r="E25" s="250"/>
    </row>
    <row r="26" spans="3:5" ht="17.399999999999999" x14ac:dyDescent="0.3">
      <c r="C26" s="277" t="s">
        <v>10</v>
      </c>
      <c r="D26" s="278"/>
      <c r="E26" s="256"/>
    </row>
    <row r="27" spans="3:5" x14ac:dyDescent="0.25">
      <c r="C27" s="248"/>
      <c r="D27" s="249"/>
      <c r="E27" s="250"/>
    </row>
    <row r="28" spans="3:5" x14ac:dyDescent="0.25">
      <c r="C28" s="248" t="s">
        <v>11</v>
      </c>
      <c r="D28" s="257" t="s">
        <v>12</v>
      </c>
      <c r="E28" s="250"/>
    </row>
    <row r="29" spans="3:5" ht="14.4" x14ac:dyDescent="0.3">
      <c r="C29" s="258" t="s">
        <v>13</v>
      </c>
      <c r="D29" s="259" t="s">
        <v>14</v>
      </c>
      <c r="E29" s="260"/>
    </row>
    <row r="30" spans="3:5" x14ac:dyDescent="0.25">
      <c r="C30" s="248" t="s">
        <v>15</v>
      </c>
      <c r="D30" s="257" t="s">
        <v>16</v>
      </c>
      <c r="E30" s="250"/>
    </row>
    <row r="31" spans="3:5" ht="14.4" x14ac:dyDescent="0.3">
      <c r="C31" s="258" t="s">
        <v>17</v>
      </c>
      <c r="D31" s="259" t="s">
        <v>18</v>
      </c>
      <c r="E31" s="260"/>
    </row>
    <row r="32" spans="3:5" ht="9.6" customHeight="1" thickBot="1" x14ac:dyDescent="0.3">
      <c r="C32" s="261"/>
      <c r="D32" s="262"/>
      <c r="E32" s="263"/>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rgb="FF47ABD9"/>
  </sheetPr>
  <dimension ref="A1:E36"/>
  <sheetViews>
    <sheetView showGridLines="0" showRowColHeaders="0" zoomScaleNormal="100" workbookViewId="0">
      <selection activeCell="B1" sqref="B1"/>
    </sheetView>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227" t="s">
        <v>19</v>
      </c>
      <c r="C1" s="3"/>
      <c r="D1" s="3"/>
    </row>
    <row r="2" spans="1:4" ht="14.4" thickBot="1" x14ac:dyDescent="0.3">
      <c r="A2" s="4" t="s">
        <v>20</v>
      </c>
    </row>
    <row r="3" spans="1:4" ht="35.25" customHeight="1" thickTop="1" thickBot="1" x14ac:dyDescent="0.3">
      <c r="B3" s="294" t="s">
        <v>21</v>
      </c>
      <c r="C3" s="295"/>
      <c r="D3" s="296"/>
    </row>
    <row r="4" spans="1:4" ht="17.25" customHeight="1" thickBot="1" x14ac:dyDescent="0.3">
      <c r="B4" s="86" t="s">
        <v>22</v>
      </c>
      <c r="C4" s="297"/>
      <c r="D4" s="298"/>
    </row>
    <row r="5" spans="1:4" ht="33" customHeight="1" thickBot="1" x14ac:dyDescent="0.35">
      <c r="B5" s="6" t="s">
        <v>23</v>
      </c>
      <c r="C5" s="87" t="s">
        <v>24</v>
      </c>
      <c r="D5" s="7" t="s">
        <v>25</v>
      </c>
    </row>
    <row r="6" spans="1:4" ht="17.399999999999999" customHeight="1" thickBot="1" x14ac:dyDescent="0.3">
      <c r="B6" s="279" t="s">
        <v>26</v>
      </c>
      <c r="C6" s="280"/>
      <c r="D6" s="281"/>
    </row>
    <row r="7" spans="1:4" ht="17.399999999999999" customHeight="1" thickBot="1" x14ac:dyDescent="0.3">
      <c r="B7" s="292" t="s">
        <v>27</v>
      </c>
      <c r="C7" s="159" t="str">
        <f>'4. SurplusGG'!E20</f>
        <v>Netaikoma</v>
      </c>
      <c r="D7" s="241" t="str">
        <f>'4. SurplusGG'!F20</f>
        <v>Netaikoma</v>
      </c>
    </row>
    <row r="8" spans="1:4" ht="53.4" customHeight="1" x14ac:dyDescent="0.25">
      <c r="B8" s="293"/>
      <c r="C8" s="160" t="str">
        <f>'4. SurplusGG'!E21</f>
        <v>Paskelbtos išskirtinės aplinkybės</v>
      </c>
      <c r="D8" s="179" t="str">
        <f>'4. SurplusGG'!F21</f>
        <v>Paskelbtos išskirtinės aplinkybės</v>
      </c>
    </row>
    <row r="9" spans="1:4" ht="15.75" customHeight="1" thickBot="1" x14ac:dyDescent="0.3">
      <c r="B9" s="299" t="s">
        <v>28</v>
      </c>
      <c r="C9" s="177" t="str">
        <f>'4. SurplusGG'!E22</f>
        <v>Not applicable</v>
      </c>
      <c r="D9" s="242" t="str">
        <f>'4. SurplusGG'!F22</f>
        <v>Not applicable</v>
      </c>
    </row>
    <row r="10" spans="1:4" ht="33" customHeight="1" thickBot="1" x14ac:dyDescent="0.3">
      <c r="B10" s="300"/>
      <c r="C10" s="178" t="str">
        <f>'4. SurplusGG'!E23</f>
        <v>Exceptional circumstances</v>
      </c>
      <c r="D10" s="243" t="str">
        <f>'4. SurplusGG'!F23</f>
        <v>Exceptional circumstances</v>
      </c>
    </row>
    <row r="11" spans="1:4" ht="17.25" customHeight="1" x14ac:dyDescent="0.25">
      <c r="B11" s="210" t="s">
        <v>29</v>
      </c>
      <c r="C11" s="290" t="str">
        <f>'4. SurplusGG'!E6</f>
        <v>Taip</v>
      </c>
      <c r="D11" s="291"/>
    </row>
    <row r="12" spans="1:4" ht="17.25" customHeight="1" thickBot="1" x14ac:dyDescent="0.3">
      <c r="B12" s="211" t="s">
        <v>30</v>
      </c>
      <c r="C12" s="301" t="str">
        <f>'4. SurplusGG'!E7</f>
        <v>Yes</v>
      </c>
      <c r="D12" s="302"/>
    </row>
    <row r="13" spans="1:4" ht="21" customHeight="1" thickBot="1" x14ac:dyDescent="0.3">
      <c r="B13" s="279" t="s">
        <v>31</v>
      </c>
      <c r="C13" s="280"/>
      <c r="D13" s="281"/>
    </row>
    <row r="14" spans="1:4" ht="18" customHeight="1" x14ac:dyDescent="0.25">
      <c r="B14" s="286" t="s">
        <v>32</v>
      </c>
      <c r="C14" s="8" t="str">
        <f>'5. GGexpenditure'!F21</f>
        <v>Taip</v>
      </c>
      <c r="D14" s="88" t="str">
        <f>'5. GGexpenditure'!G21</f>
        <v>Taip</v>
      </c>
    </row>
    <row r="15" spans="1:4" ht="37.5" customHeight="1" x14ac:dyDescent="0.25">
      <c r="B15" s="287"/>
      <c r="C15" s="172" t="str">
        <f>'5. GGexpenditure'!F22</f>
        <v>Susidaro A1 A5 aplinkybės</v>
      </c>
      <c r="D15" s="161" t="str">
        <f>'5. GGexpenditure'!G22</f>
        <v>Susidaro A1 A5 aplinkybės</v>
      </c>
    </row>
    <row r="16" spans="1:4" ht="18" customHeight="1" x14ac:dyDescent="0.25">
      <c r="B16" s="288" t="s">
        <v>33</v>
      </c>
      <c r="C16" s="173" t="str">
        <f>'5. GGexpenditure'!F23</f>
        <v>Yes</v>
      </c>
      <c r="D16" s="174" t="str">
        <f>'5. GGexpenditure'!G23</f>
        <v>Yes</v>
      </c>
    </row>
    <row r="17" spans="2:4" ht="52.5" customHeight="1" thickBot="1" x14ac:dyDescent="0.3">
      <c r="B17" s="288"/>
      <c r="C17" s="175" t="str">
        <f>'5. GGexpenditure'!F24</f>
        <v>Escape clauses A1 A5 emerge</v>
      </c>
      <c r="D17" s="176" t="str">
        <f>'5. GGexpenditure'!G24</f>
        <v>Escape clauses A1 A5 emerge</v>
      </c>
    </row>
    <row r="18" spans="2:4" ht="22.5" customHeight="1" x14ac:dyDescent="0.25">
      <c r="B18" s="286" t="s">
        <v>34</v>
      </c>
      <c r="C18" s="155" t="str">
        <f>'5. GGexpenditure'!F29</f>
        <v>Netaikoma</v>
      </c>
      <c r="D18" s="198" t="str">
        <f>'5. GGexpenditure'!G29</f>
        <v>Netaikoma</v>
      </c>
    </row>
    <row r="19" spans="2:4" ht="69" customHeight="1" x14ac:dyDescent="0.25">
      <c r="B19" s="287"/>
      <c r="C19" s="156" t="str">
        <f>'5. GGexpenditure'!F30</f>
        <v>Susidarė KĮ numatytos netaikymo aplinkybės</v>
      </c>
      <c r="D19" s="197" t="str">
        <f>'5. GGexpenditure'!G30</f>
        <v>Susidarė KĮ numatytos netaikymo aplinkybės</v>
      </c>
    </row>
    <row r="20" spans="2:4" ht="14.4" x14ac:dyDescent="0.25">
      <c r="B20" s="288" t="s">
        <v>35</v>
      </c>
      <c r="C20" s="173" t="str">
        <f>'5. GGexpenditure'!F31</f>
        <v>Not applied</v>
      </c>
      <c r="D20" s="174" t="str">
        <f>'5. GGexpenditure'!G31</f>
        <v>Not applied</v>
      </c>
    </row>
    <row r="21" spans="2:4" ht="64.5" customHeight="1" thickBot="1" x14ac:dyDescent="0.3">
      <c r="B21" s="289"/>
      <c r="C21" s="91" t="str">
        <f>'5. GGexpenditure'!F32</f>
        <v>CL escape clauses emerged</v>
      </c>
      <c r="D21" s="196" t="str">
        <f>'5. GGexpenditure'!G32</f>
        <v>CL escape clauses emerged</v>
      </c>
    </row>
    <row r="22" spans="2:4" ht="19.5" customHeight="1" x14ac:dyDescent="0.25">
      <c r="B22" s="210" t="s">
        <v>36</v>
      </c>
      <c r="C22" s="172" t="s">
        <v>37</v>
      </c>
      <c r="D22" s="179" t="s">
        <v>38</v>
      </c>
    </row>
    <row r="23" spans="2:4" ht="15" thickBot="1" x14ac:dyDescent="0.3">
      <c r="B23" s="211" t="s">
        <v>39</v>
      </c>
      <c r="C23" s="91" t="s">
        <v>40</v>
      </c>
      <c r="D23" s="169" t="s">
        <v>40</v>
      </c>
    </row>
    <row r="24" spans="2:4" ht="15.75" customHeight="1" thickBot="1" x14ac:dyDescent="0.3">
      <c r="B24" s="279" t="s">
        <v>41</v>
      </c>
      <c r="C24" s="280" t="s">
        <v>42</v>
      </c>
      <c r="D24" s="281"/>
    </row>
    <row r="25" spans="2:4" ht="82.8" x14ac:dyDescent="0.25">
      <c r="B25" s="210" t="s">
        <v>43</v>
      </c>
      <c r="C25" s="85" t="str">
        <f>'6. GGbudgets'!E6:E6</f>
        <v>Savivaldybių biudžetų atitiktis fiskalinės drausmės taisyklėms bus vertinama 2021 m. birželio mėn.</v>
      </c>
      <c r="D25" s="166" t="str">
        <f>'6. GGbudgets'!F6:F6</f>
        <v>Savivaldybių biudžetų atitiktis fiskalinės drausmės taisyklėms bus vertinama 2021 m. birželio mėn.</v>
      </c>
    </row>
    <row r="26" spans="2:4" ht="29.4" thickBot="1" x14ac:dyDescent="0.3">
      <c r="B26" s="211" t="s">
        <v>44</v>
      </c>
      <c r="C26" s="90" t="str">
        <f>'6. GGbudgets'!E7:E7</f>
        <v>Will be assessed in June 2021</v>
      </c>
      <c r="D26" s="167" t="str">
        <f>'6. GGbudgets'!F7:F7</f>
        <v>Will be assessed in June 2021</v>
      </c>
    </row>
    <row r="27" spans="2:4" x14ac:dyDescent="0.25">
      <c r="B27" s="210" t="s">
        <v>45</v>
      </c>
      <c r="C27" s="155" t="str">
        <f>'6. GGbudgets'!E12</f>
        <v>Tenkinama</v>
      </c>
      <c r="D27" s="168" t="str">
        <f>'6. GGbudgets'!F12</f>
        <v>Tenkinama</v>
      </c>
    </row>
    <row r="28" spans="2:4" ht="15" thickBot="1" x14ac:dyDescent="0.3">
      <c r="B28" s="211" t="s">
        <v>46</v>
      </c>
      <c r="C28" s="91" t="str">
        <f>'6. GGbudgets'!E13</f>
        <v>Valid</v>
      </c>
      <c r="D28" s="169" t="str">
        <f>'6. GGbudgets'!F13</f>
        <v>Valid</v>
      </c>
    </row>
    <row r="29" spans="2:4" x14ac:dyDescent="0.25">
      <c r="B29" s="204" t="s">
        <v>47</v>
      </c>
      <c r="C29" s="156" t="str">
        <f>'6. GGbudgets'!E20</f>
        <v>Tenkinama</v>
      </c>
      <c r="D29" s="170" t="str">
        <f>'6. GGbudgets'!F20</f>
        <v>Tenkinama</v>
      </c>
    </row>
    <row r="30" spans="2:4" ht="15" thickBot="1" x14ac:dyDescent="0.3">
      <c r="B30" s="205" t="s">
        <v>48</v>
      </c>
      <c r="C30" s="225" t="str">
        <f>'6. GGbudgets'!E21</f>
        <v>Valid</v>
      </c>
      <c r="D30" s="171" t="str">
        <f>'6. GGbudgets'!F21</f>
        <v>Valid</v>
      </c>
    </row>
    <row r="31" spans="2:4" ht="121.5" customHeight="1" x14ac:dyDescent="0.25">
      <c r="B31" s="207" t="s">
        <v>49</v>
      </c>
      <c r="C31" s="155" t="str">
        <f>'6. GGbudgets'!E22</f>
        <v>Savivaldybių biudžetų atitiktis fiskalinės drausmės taisyklėms bus vertinama 2021 m. birželio mėn.</v>
      </c>
      <c r="D31" s="168" t="str">
        <f>'6. GGbudgets'!F22</f>
        <v>Savivaldybių biudžetų atitiktis fiskalinės drausmės taisyklėms bus vertinama 2021 m. birželio mėn.</v>
      </c>
    </row>
    <row r="32" spans="2:4" ht="48.75" customHeight="1" thickBot="1" x14ac:dyDescent="0.3">
      <c r="B32" s="206" t="s">
        <v>50</v>
      </c>
      <c r="C32" s="208" t="str">
        <f>'6. GGbudgets'!E23</f>
        <v>Will be assessed in June 2021</v>
      </c>
      <c r="D32" s="209" t="str">
        <f>'6. GGbudgets'!F23</f>
        <v>Will be assessed in June 2021</v>
      </c>
    </row>
    <row r="33" spans="2:5" ht="14.4" thickTop="1" x14ac:dyDescent="0.25">
      <c r="B33" s="84"/>
      <c r="C33" s="84"/>
      <c r="D33" s="84"/>
    </row>
    <row r="34" spans="2:5" ht="15" thickBot="1" x14ac:dyDescent="0.35">
      <c r="B34" s="10" t="s">
        <v>51</v>
      </c>
      <c r="C34" s="10"/>
      <c r="D34" s="10"/>
      <c r="E34" s="135" t="s">
        <v>52</v>
      </c>
    </row>
    <row r="35" spans="2:5" ht="15" thickBot="1" x14ac:dyDescent="0.35">
      <c r="B35" s="11" t="s">
        <v>53</v>
      </c>
      <c r="C35" s="282" t="s">
        <v>24</v>
      </c>
      <c r="D35" s="283"/>
      <c r="E35" s="135" t="s">
        <v>54</v>
      </c>
    </row>
    <row r="36" spans="2:5" ht="15" thickBot="1" x14ac:dyDescent="0.35">
      <c r="B36" s="11" t="s">
        <v>55</v>
      </c>
      <c r="C36" s="284" t="s">
        <v>25</v>
      </c>
      <c r="D36" s="285"/>
      <c r="E36" s="238" t="s">
        <v>56</v>
      </c>
    </row>
  </sheetData>
  <mergeCells count="15">
    <mergeCell ref="C11:D11"/>
    <mergeCell ref="B13:D13"/>
    <mergeCell ref="B7:B8"/>
    <mergeCell ref="B3:D3"/>
    <mergeCell ref="B6:D6"/>
    <mergeCell ref="C4:D4"/>
    <mergeCell ref="B9:B10"/>
    <mergeCell ref="C12:D12"/>
    <mergeCell ref="B24:D24"/>
    <mergeCell ref="C35:D35"/>
    <mergeCell ref="C36:D36"/>
    <mergeCell ref="B14:B15"/>
    <mergeCell ref="B16:B17"/>
    <mergeCell ref="B20:B21"/>
    <mergeCell ref="B18:B19"/>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5"/>
  </sheetPr>
  <dimension ref="A1:S61"/>
  <sheetViews>
    <sheetView showGridLines="0" showRowColHeaders="0" zoomScaleNormal="100" workbookViewId="0">
      <pane ySplit="5" topLeftCell="A6" activePane="bottomLeft" state="frozen"/>
      <selection pane="bottomLeft" activeCell="B1" sqref="B1"/>
    </sheetView>
  </sheetViews>
  <sheetFormatPr defaultColWidth="10" defaultRowHeight="13.8" x14ac:dyDescent="0.25"/>
  <cols>
    <col min="1" max="1" width="4.5546875" style="1" customWidth="1"/>
    <col min="2" max="2" width="49.109375" style="1" customWidth="1"/>
    <col min="3" max="3" width="40.88671875" style="1" customWidth="1"/>
    <col min="4" max="4" width="21.109375" style="1" customWidth="1"/>
    <col min="5" max="8" width="11.44140625" style="1" customWidth="1"/>
    <col min="9" max="9" width="11.6640625" style="1" customWidth="1"/>
    <col min="10" max="12" width="11.44140625" style="1" customWidth="1"/>
    <col min="13" max="13" width="11.6640625" style="226" hidden="1" customWidth="1"/>
    <col min="14" max="16" width="11.44140625" style="226" hidden="1" customWidth="1"/>
    <col min="17" max="16384" width="10" style="1"/>
  </cols>
  <sheetData>
    <row r="1" spans="1:19" x14ac:dyDescent="0.25">
      <c r="B1" s="227" t="s">
        <v>19</v>
      </c>
      <c r="C1" s="3"/>
      <c r="D1" s="3"/>
    </row>
    <row r="2" spans="1:19" ht="14.4" thickBot="1" x14ac:dyDescent="0.3">
      <c r="A2" s="12" t="s">
        <v>20</v>
      </c>
      <c r="B2" s="13"/>
      <c r="C2" s="13"/>
      <c r="M2" s="233"/>
      <c r="N2" s="233"/>
      <c r="O2" s="233"/>
      <c r="P2" s="233"/>
    </row>
    <row r="3" spans="1:19" ht="40.200000000000003" customHeight="1" thickBot="1" x14ac:dyDescent="0.3">
      <c r="B3" s="306" t="s">
        <v>57</v>
      </c>
      <c r="C3" s="307"/>
      <c r="D3" s="307"/>
      <c r="E3" s="307"/>
      <c r="F3" s="307"/>
      <c r="G3" s="307"/>
      <c r="H3" s="307"/>
      <c r="I3" s="307"/>
      <c r="J3" s="307"/>
      <c r="K3" s="307"/>
      <c r="L3" s="307"/>
      <c r="M3" s="307"/>
      <c r="N3" s="307"/>
      <c r="O3" s="307"/>
      <c r="P3" s="308"/>
    </row>
    <row r="4" spans="1:19" ht="22.95" customHeight="1" thickBot="1" x14ac:dyDescent="0.3">
      <c r="B4" s="318" t="s">
        <v>58</v>
      </c>
      <c r="C4" s="318" t="s">
        <v>59</v>
      </c>
      <c r="D4" s="319" t="s">
        <v>60</v>
      </c>
      <c r="E4" s="326"/>
      <c r="F4" s="326"/>
      <c r="G4" s="326"/>
      <c r="H4" s="326"/>
      <c r="I4" s="326"/>
      <c r="J4" s="326"/>
      <c r="K4" s="326"/>
      <c r="L4" s="327"/>
      <c r="M4" s="325" t="s">
        <v>61</v>
      </c>
      <c r="N4" s="326"/>
      <c r="O4" s="326"/>
      <c r="P4" s="327"/>
    </row>
    <row r="5" spans="1:19" ht="20.25" customHeight="1" thickBot="1" x14ac:dyDescent="0.3">
      <c r="B5" s="318"/>
      <c r="C5" s="318"/>
      <c r="D5" s="319"/>
      <c r="E5" s="14">
        <f>2013</f>
        <v>2013</v>
      </c>
      <c r="F5" s="14">
        <f>2014</f>
        <v>2014</v>
      </c>
      <c r="G5" s="14">
        <f>2015</f>
        <v>2015</v>
      </c>
      <c r="H5" s="14">
        <f>2016</f>
        <v>2016</v>
      </c>
      <c r="I5" s="14">
        <f>2017</f>
        <v>2017</v>
      </c>
      <c r="J5" s="14">
        <f>2018</f>
        <v>2018</v>
      </c>
      <c r="K5" s="14">
        <f>2019</f>
        <v>2019</v>
      </c>
      <c r="L5" s="14">
        <f>2020</f>
        <v>2020</v>
      </c>
      <c r="M5" s="14" t="str">
        <f>CONCATENATE(L5+1,"P")</f>
        <v>2021P</v>
      </c>
      <c r="N5" s="14" t="str">
        <f>CONCATENATE(L5+2,"P")</f>
        <v>2022P</v>
      </c>
      <c r="O5" s="14" t="str">
        <f>CONCATENATE(L5+3,"P")</f>
        <v>2023P</v>
      </c>
      <c r="P5" s="14" t="str">
        <f>CONCATENATE(L5+4,"P")</f>
        <v>2024P</v>
      </c>
    </row>
    <row r="6" spans="1:19" ht="14.4" thickBot="1" x14ac:dyDescent="0.3">
      <c r="B6" s="108" t="s">
        <v>62</v>
      </c>
      <c r="C6" s="108" t="s">
        <v>63</v>
      </c>
      <c r="D6" s="163"/>
      <c r="E6" s="15" t="s">
        <v>296</v>
      </c>
      <c r="F6" s="15" t="s">
        <v>297</v>
      </c>
      <c r="G6" s="15" t="s">
        <v>298</v>
      </c>
      <c r="H6" s="15" t="s">
        <v>299</v>
      </c>
      <c r="I6" s="15" t="s">
        <v>300</v>
      </c>
      <c r="J6" s="15" t="s">
        <v>301</v>
      </c>
      <c r="K6" s="15" t="s">
        <v>64</v>
      </c>
      <c r="L6" s="15" t="s">
        <v>65</v>
      </c>
      <c r="M6" s="15" t="s">
        <v>66</v>
      </c>
      <c r="N6" s="15" t="s">
        <v>67</v>
      </c>
      <c r="O6" s="15" t="s">
        <v>68</v>
      </c>
      <c r="P6" s="15" t="s">
        <v>69</v>
      </c>
    </row>
    <row r="7" spans="1:19" ht="14.4" thickBot="1" x14ac:dyDescent="0.3">
      <c r="B7" s="309" t="s">
        <v>70</v>
      </c>
      <c r="C7" s="320" t="s">
        <v>71</v>
      </c>
      <c r="D7" s="16">
        <v>44330</v>
      </c>
      <c r="E7" s="17">
        <v>35039.5</v>
      </c>
      <c r="F7" s="17">
        <v>36581.300000000003</v>
      </c>
      <c r="G7" s="17">
        <v>37345.699999999997</v>
      </c>
      <c r="H7" s="17">
        <v>38889.9</v>
      </c>
      <c r="I7" s="17">
        <v>42276.3</v>
      </c>
      <c r="J7" s="17">
        <v>45491.1</v>
      </c>
      <c r="K7" s="17">
        <v>48808.6</v>
      </c>
      <c r="L7" s="17">
        <v>48929.7</v>
      </c>
      <c r="M7" s="22">
        <f>L7*(1+M9/100)</f>
        <v>51107.875863920039</v>
      </c>
      <c r="N7" s="22">
        <f t="shared" ref="N7:O7" si="0">M7*(1+N9/100)</f>
        <v>53712.912366581251</v>
      </c>
      <c r="O7" s="22">
        <f t="shared" si="0"/>
        <v>56468.645203303968</v>
      </c>
      <c r="P7" s="22">
        <f>O7*(1+P9/100)</f>
        <v>59415.576289757264</v>
      </c>
    </row>
    <row r="8" spans="1:19" ht="14.4" thickBot="1" x14ac:dyDescent="0.3">
      <c r="B8" s="310"/>
      <c r="C8" s="320"/>
      <c r="D8" s="16">
        <v>44330</v>
      </c>
      <c r="E8" s="17">
        <v>35039.5</v>
      </c>
      <c r="F8" s="17">
        <v>36581.300000000003</v>
      </c>
      <c r="G8" s="17">
        <v>37345.699999999997</v>
      </c>
      <c r="H8" s="17">
        <v>38889.9</v>
      </c>
      <c r="I8" s="17">
        <v>42276.3</v>
      </c>
      <c r="J8" s="17">
        <v>45491.1</v>
      </c>
      <c r="K8" s="17">
        <v>48808.6</v>
      </c>
      <c r="L8" s="17">
        <v>48929.7</v>
      </c>
      <c r="M8" s="22">
        <f>L8*(1+M10/100)</f>
        <v>51107.875863920039</v>
      </c>
      <c r="N8" s="22">
        <f t="shared" ref="N8:P8" si="1">M8*(1+N10/100)</f>
        <v>53712.912366581251</v>
      </c>
      <c r="O8" s="22">
        <f t="shared" si="1"/>
        <v>56468.645203303968</v>
      </c>
      <c r="P8" s="22">
        <f t="shared" si="1"/>
        <v>59415.576289757264</v>
      </c>
    </row>
    <row r="9" spans="1:19" ht="14.4" thickBot="1" x14ac:dyDescent="0.3">
      <c r="B9" s="309" t="s">
        <v>72</v>
      </c>
      <c r="C9" s="311" t="s">
        <v>73</v>
      </c>
      <c r="D9" s="16">
        <f>$D$7</f>
        <v>44330</v>
      </c>
      <c r="E9" s="18"/>
      <c r="F9" s="18">
        <f t="shared" ref="F9:K9" si="2">(F7/E7-1)*100</f>
        <v>4.4001769431641469</v>
      </c>
      <c r="G9" s="18">
        <f t="shared" si="2"/>
        <v>2.0895922233490793</v>
      </c>
      <c r="H9" s="18">
        <f t="shared" si="2"/>
        <v>4.1348803208937079</v>
      </c>
      <c r="I9" s="18">
        <f t="shared" si="2"/>
        <v>8.7076593151435233</v>
      </c>
      <c r="J9" s="18">
        <f t="shared" si="2"/>
        <v>7.6042605431411836</v>
      </c>
      <c r="K9" s="18">
        <f t="shared" si="2"/>
        <v>7.292635262721725</v>
      </c>
      <c r="L9" s="18">
        <f>(L7/K7-1)*100</f>
        <v>0.24811201304688613</v>
      </c>
      <c r="M9" s="22">
        <v>4.451643610976646</v>
      </c>
      <c r="N9" s="22">
        <v>5.0971331886251505</v>
      </c>
      <c r="O9" s="22">
        <v>5.1304848597955726</v>
      </c>
      <c r="P9" s="22">
        <v>5.218703363332807</v>
      </c>
    </row>
    <row r="10" spans="1:19" ht="14.4" thickBot="1" x14ac:dyDescent="0.3">
      <c r="B10" s="310"/>
      <c r="C10" s="311"/>
      <c r="D10" s="16">
        <f>$D$8</f>
        <v>44330</v>
      </c>
      <c r="E10" s="18"/>
      <c r="F10" s="18">
        <f t="shared" ref="F10:L10" si="3">(F8/E8-1)*100</f>
        <v>4.4001769431641469</v>
      </c>
      <c r="G10" s="18">
        <f t="shared" si="3"/>
        <v>2.0895922233490793</v>
      </c>
      <c r="H10" s="18">
        <f t="shared" si="3"/>
        <v>4.1348803208937079</v>
      </c>
      <c r="I10" s="18">
        <f t="shared" si="3"/>
        <v>8.7076593151435233</v>
      </c>
      <c r="J10" s="18">
        <f t="shared" si="3"/>
        <v>7.6042605431411836</v>
      </c>
      <c r="K10" s="18">
        <f t="shared" si="3"/>
        <v>7.292635262721725</v>
      </c>
      <c r="L10" s="18">
        <f t="shared" si="3"/>
        <v>0.24811201304688613</v>
      </c>
      <c r="M10" s="22">
        <v>4.451643610976646</v>
      </c>
      <c r="N10" s="22">
        <v>5.0971331886251505</v>
      </c>
      <c r="O10" s="22">
        <v>5.1304848597955726</v>
      </c>
      <c r="P10" s="22">
        <v>5.218703363332807</v>
      </c>
    </row>
    <row r="11" spans="1:19" ht="14.4" thickBot="1" x14ac:dyDescent="0.3">
      <c r="B11" s="309" t="s">
        <v>74</v>
      </c>
      <c r="C11" s="311" t="s">
        <v>75</v>
      </c>
      <c r="D11" s="16">
        <f>$D$7</f>
        <v>44330</v>
      </c>
      <c r="E11" s="17">
        <v>35354.1</v>
      </c>
      <c r="F11" s="17">
        <v>36604.6</v>
      </c>
      <c r="G11" s="17">
        <v>37345.699999999997</v>
      </c>
      <c r="H11" s="17">
        <v>38286.400000000001</v>
      </c>
      <c r="I11" s="17">
        <v>39926</v>
      </c>
      <c r="J11" s="17">
        <v>41497.800000000003</v>
      </c>
      <c r="K11" s="17">
        <v>43298.400000000001</v>
      </c>
      <c r="L11" s="17">
        <v>42920.9</v>
      </c>
      <c r="M11" s="22">
        <f>L11*(1+M13/100)</f>
        <v>44045.833492530815</v>
      </c>
      <c r="N11" s="22">
        <f t="shared" ref="N11:P11" si="4">M11*(1+N13/100)</f>
        <v>45466.695279259831</v>
      </c>
      <c r="O11" s="22">
        <f t="shared" si="4"/>
        <v>46910.785184148655</v>
      </c>
      <c r="P11" s="22">
        <f t="shared" si="4"/>
        <v>48397.11564171817</v>
      </c>
    </row>
    <row r="12" spans="1:19" ht="14.4" thickBot="1" x14ac:dyDescent="0.3">
      <c r="B12" s="310"/>
      <c r="C12" s="311"/>
      <c r="D12" s="16">
        <v>44301</v>
      </c>
      <c r="E12" s="17">
        <v>35354.1</v>
      </c>
      <c r="F12" s="17">
        <v>36604.6</v>
      </c>
      <c r="G12" s="17">
        <v>37345.699999999997</v>
      </c>
      <c r="H12" s="17">
        <v>38286.400000000001</v>
      </c>
      <c r="I12" s="17">
        <v>39926</v>
      </c>
      <c r="J12" s="17">
        <v>41497.800000000003</v>
      </c>
      <c r="K12" s="17">
        <v>43298.400000000001</v>
      </c>
      <c r="L12" s="17">
        <v>42942.2</v>
      </c>
      <c r="M12" s="22">
        <f>L12*(1+M14/100)</f>
        <v>44067.691753969666</v>
      </c>
      <c r="N12" s="22">
        <f t="shared" ref="N12:P12" si="5">M12*(1+N14/100)</f>
        <v>45489.25866002417</v>
      </c>
      <c r="O12" s="22">
        <f t="shared" si="5"/>
        <v>46934.065211464542</v>
      </c>
      <c r="P12" s="22">
        <f t="shared" si="5"/>
        <v>48421.133277955261</v>
      </c>
    </row>
    <row r="13" spans="1:19" ht="14.4" thickBot="1" x14ac:dyDescent="0.3">
      <c r="B13" s="309" t="s">
        <v>76</v>
      </c>
      <c r="C13" s="311" t="s">
        <v>77</v>
      </c>
      <c r="D13" s="16">
        <f>$D$7</f>
        <v>44330</v>
      </c>
      <c r="E13" s="18"/>
      <c r="F13" s="18">
        <f t="shared" ref="F13:K13" si="6">(F11/E11-1)*100</f>
        <v>3.5370720793345134</v>
      </c>
      <c r="G13" s="18">
        <f t="shared" si="6"/>
        <v>2.0246089289324143</v>
      </c>
      <c r="H13" s="18">
        <f t="shared" si="6"/>
        <v>2.5188977579748251</v>
      </c>
      <c r="I13" s="18">
        <f t="shared" si="6"/>
        <v>4.2824606126457443</v>
      </c>
      <c r="J13" s="18">
        <f t="shared" si="6"/>
        <v>3.9367830486399802</v>
      </c>
      <c r="K13" s="18">
        <f t="shared" si="6"/>
        <v>4.3390252013359776</v>
      </c>
      <c r="L13" s="18">
        <f>(L11/K11-1)*100</f>
        <v>-0.8718566967832575</v>
      </c>
      <c r="M13" s="22">
        <v>2.6209457223189929</v>
      </c>
      <c r="N13" s="22">
        <v>3.2258710394706469</v>
      </c>
      <c r="O13" s="22">
        <v>3.1761488184243802</v>
      </c>
      <c r="P13" s="22">
        <v>3.1684194833552937</v>
      </c>
    </row>
    <row r="14" spans="1:19" ht="14.4" thickBot="1" x14ac:dyDescent="0.3">
      <c r="B14" s="310"/>
      <c r="C14" s="311"/>
      <c r="D14" s="16">
        <f>$D$8</f>
        <v>44330</v>
      </c>
      <c r="E14" s="18"/>
      <c r="F14" s="18">
        <f t="shared" ref="F14:I14" si="7">(F12/E12-1)*100</f>
        <v>3.5370720793345134</v>
      </c>
      <c r="G14" s="18">
        <f t="shared" si="7"/>
        <v>2.0246089289324143</v>
      </c>
      <c r="H14" s="18">
        <f t="shared" si="7"/>
        <v>2.5188977579748251</v>
      </c>
      <c r="I14" s="18">
        <f t="shared" si="7"/>
        <v>4.2824606126457443</v>
      </c>
      <c r="J14" s="20">
        <f>(J12/I12-1)*100</f>
        <v>3.9367830486399802</v>
      </c>
      <c r="K14" s="20">
        <f>(K12-J12)/J12*100</f>
        <v>4.3390252013359705</v>
      </c>
      <c r="L14" s="20">
        <f>(L12-K12)/K12*100</f>
        <v>-0.8226631930972147</v>
      </c>
      <c r="M14" s="22">
        <v>2.6209457223189929</v>
      </c>
      <c r="N14" s="22">
        <v>3.2258710394706469</v>
      </c>
      <c r="O14" s="22">
        <v>3.1761488184243802</v>
      </c>
      <c r="P14" s="22">
        <v>3.1684194833552937</v>
      </c>
    </row>
    <row r="15" spans="1:19" ht="14.4" thickBot="1" x14ac:dyDescent="0.3">
      <c r="B15" s="309" t="s">
        <v>78</v>
      </c>
      <c r="C15" s="311" t="s">
        <v>79</v>
      </c>
      <c r="D15" s="16">
        <v>44330</v>
      </c>
      <c r="E15" s="21">
        <v>35880.295612131398</v>
      </c>
      <c r="F15" s="21">
        <v>36627.117446200224</v>
      </c>
      <c r="G15" s="21">
        <v>37454.18138971884</v>
      </c>
      <c r="H15" s="21">
        <v>38350.096659716277</v>
      </c>
      <c r="I15" s="21">
        <v>39348.621857430575</v>
      </c>
      <c r="J15" s="21">
        <v>40508.965123823604</v>
      </c>
      <c r="K15" s="21">
        <v>41779.30244521406</v>
      </c>
      <c r="L15" s="21">
        <v>43092.445446637015</v>
      </c>
      <c r="M15" s="21">
        <v>44472.250877601829</v>
      </c>
      <c r="N15" s="21">
        <v>45884.123329375703</v>
      </c>
      <c r="O15" s="21">
        <v>47298.819544006692</v>
      </c>
      <c r="P15" s="21">
        <v>48737.817962691806</v>
      </c>
    </row>
    <row r="16" spans="1:19" ht="14.4" thickBot="1" x14ac:dyDescent="0.3">
      <c r="B16" s="310"/>
      <c r="C16" s="311"/>
      <c r="D16" s="16">
        <v>44314</v>
      </c>
      <c r="E16" s="22">
        <v>35658.58458333106</v>
      </c>
      <c r="F16" s="22">
        <v>36391.156579218259</v>
      </c>
      <c r="G16" s="22">
        <v>37146.115439936628</v>
      </c>
      <c r="H16" s="22">
        <v>37843.882293520561</v>
      </c>
      <c r="I16" s="22">
        <v>38727.257047530591</v>
      </c>
      <c r="J16" s="22">
        <v>39934.698116120533</v>
      </c>
      <c r="K16" s="22">
        <v>41571.13581113395</v>
      </c>
      <c r="L16" s="22">
        <v>43186.387038734778</v>
      </c>
      <c r="M16" s="22">
        <v>44835.170483388305</v>
      </c>
      <c r="N16" s="22">
        <v>46380.185641268261</v>
      </c>
      <c r="O16" s="22">
        <v>47733.742297885328</v>
      </c>
      <c r="P16" s="22">
        <v>49022.269835605752</v>
      </c>
      <c r="Q16" s="235"/>
      <c r="R16" s="235"/>
      <c r="S16" s="235"/>
    </row>
    <row r="17" spans="2:16" ht="14.4" thickBot="1" x14ac:dyDescent="0.3">
      <c r="B17" s="309" t="s">
        <v>80</v>
      </c>
      <c r="C17" s="311" t="s">
        <v>81</v>
      </c>
      <c r="D17" s="16">
        <f>D15</f>
        <v>44330</v>
      </c>
      <c r="E17" s="21"/>
      <c r="F17" s="21">
        <f>(F15/E15-1)*100</f>
        <v>2.0814260900802628</v>
      </c>
      <c r="G17" s="21">
        <f t="shared" ref="F17:J18" si="8">(G15/F15-1)*100</f>
        <v>2.2580645193645221</v>
      </c>
      <c r="H17" s="21">
        <f>(H15/G15-1)*100</f>
        <v>2.3920300397844541</v>
      </c>
      <c r="I17" s="21">
        <f t="shared" si="8"/>
        <v>2.6037097287506139</v>
      </c>
      <c r="J17" s="21">
        <f t="shared" si="8"/>
        <v>2.9488790499378359</v>
      </c>
      <c r="K17" s="21">
        <f>(K15/J15-1)*100</f>
        <v>3.1359411861236586</v>
      </c>
      <c r="L17" s="21">
        <f>(L15/K15-1)*100</f>
        <v>3.14304673503083</v>
      </c>
      <c r="M17" s="21">
        <f t="shared" ref="M17:P17" si="9">(M15/L15-1)*100</f>
        <v>3.2019659517199539</v>
      </c>
      <c r="N17" s="21">
        <f t="shared" si="9"/>
        <v>3.1747267653703393</v>
      </c>
      <c r="O17" s="21">
        <f t="shared" si="9"/>
        <v>3.083193296460518</v>
      </c>
      <c r="P17" s="21">
        <f t="shared" si="9"/>
        <v>3.0423558823625019</v>
      </c>
    </row>
    <row r="18" spans="2:16" ht="14.4" thickBot="1" x14ac:dyDescent="0.3">
      <c r="B18" s="310"/>
      <c r="C18" s="311"/>
      <c r="D18" s="16">
        <f>$D$16</f>
        <v>44314</v>
      </c>
      <c r="E18" s="22"/>
      <c r="F18" s="22">
        <f t="shared" si="8"/>
        <v>2.0544057046774755</v>
      </c>
      <c r="G18" s="22">
        <f t="shared" si="8"/>
        <v>2.074566822505175</v>
      </c>
      <c r="H18" s="22">
        <f>(H16/G16-1)*100</f>
        <v>1.878438284380457</v>
      </c>
      <c r="I18" s="22">
        <f t="shared" si="8"/>
        <v>2.3342603889275892</v>
      </c>
      <c r="J18" s="22">
        <f t="shared" si="8"/>
        <v>3.1178068384962732</v>
      </c>
      <c r="K18" s="22">
        <f>(K16/J16-1)*100</f>
        <v>4.0977840630096907</v>
      </c>
      <c r="L18" s="22">
        <f>(L16/K16-1)*100</f>
        <v>3.8855114157554826</v>
      </c>
      <c r="M18" s="22">
        <f t="shared" ref="M18:P18" si="10">(M16/L16-1)*100</f>
        <v>3.8178313994516433</v>
      </c>
      <c r="N18" s="22">
        <f t="shared" si="10"/>
        <v>3.4459892562522798</v>
      </c>
      <c r="O18" s="22">
        <f t="shared" si="10"/>
        <v>2.9183942192174017</v>
      </c>
      <c r="P18" s="22">
        <f t="shared" si="10"/>
        <v>2.6994060714521151</v>
      </c>
    </row>
    <row r="19" spans="2:16" ht="14.4" thickBot="1" x14ac:dyDescent="0.3">
      <c r="B19" s="309" t="s">
        <v>82</v>
      </c>
      <c r="C19" s="311" t="s">
        <v>83</v>
      </c>
      <c r="D19" s="16">
        <f>D15</f>
        <v>44330</v>
      </c>
      <c r="E19" s="21">
        <f>(E11/E15-1)*100</f>
        <v>-1.4665308720407833</v>
      </c>
      <c r="F19" s="21">
        <f t="shared" ref="F19:K19" si="11">(F11/F15-1)*100</f>
        <v>-6.1477527499398388E-2</v>
      </c>
      <c r="G19" s="21">
        <f t="shared" si="11"/>
        <v>-0.28963759370435049</v>
      </c>
      <c r="H19" s="21">
        <f t="shared" si="11"/>
        <v>-0.16609256628858926</v>
      </c>
      <c r="I19" s="21">
        <f t="shared" si="11"/>
        <v>1.4673401896041049</v>
      </c>
      <c r="J19" s="21">
        <f>(J11/J15-1)*100</f>
        <v>2.44102724706452</v>
      </c>
      <c r="K19" s="21">
        <f t="shared" si="11"/>
        <v>3.6360050692037404</v>
      </c>
      <c r="L19" s="21">
        <f>(L11/L15-1)*100</f>
        <v>-0.39808705414373646</v>
      </c>
      <c r="M19" s="21">
        <f t="shared" ref="M19:P19" si="12">(M11/M15-1)*100</f>
        <v>-0.95883922368718011</v>
      </c>
      <c r="N19" s="21">
        <f t="shared" si="12"/>
        <v>-0.90974398076518748</v>
      </c>
      <c r="O19" s="21">
        <f t="shared" si="12"/>
        <v>-0.82038909976814844</v>
      </c>
      <c r="P19" s="21">
        <f t="shared" si="12"/>
        <v>-0.69905124032110244</v>
      </c>
    </row>
    <row r="20" spans="2:16" ht="14.4" thickBot="1" x14ac:dyDescent="0.3">
      <c r="B20" s="310"/>
      <c r="C20" s="311"/>
      <c r="D20" s="16">
        <f>$D$16</f>
        <v>44314</v>
      </c>
      <c r="E20" s="22">
        <f t="shared" ref="E20:J20" si="13">(E$12/E16-1)*100</f>
        <v>-0.85388858500400344</v>
      </c>
      <c r="F20" s="22">
        <f t="shared" si="13"/>
        <v>0.58652552115814327</v>
      </c>
      <c r="G20" s="22">
        <f t="shared" si="13"/>
        <v>0.53729591290934131</v>
      </c>
      <c r="H20" s="22">
        <f t="shared" si="13"/>
        <v>1.1693242861481101</v>
      </c>
      <c r="I20" s="22">
        <f t="shared" si="13"/>
        <v>3.0953469051478999</v>
      </c>
      <c r="J20" s="22">
        <f t="shared" si="13"/>
        <v>3.9141447353235215</v>
      </c>
      <c r="K20" s="22">
        <f>(K$12/K16-1)*100</f>
        <v>4.1549602991685308</v>
      </c>
      <c r="L20" s="22">
        <f>(L$12/L16-1)*100</f>
        <v>-0.56542594895878651</v>
      </c>
      <c r="M20" s="22">
        <f>(M$12/M16-1)*100</f>
        <v>-1.7117783230087058</v>
      </c>
      <c r="N20" s="22">
        <f t="shared" ref="N20:P20" si="14">(N$12/N16-1)*100</f>
        <v>-1.9209215507135835</v>
      </c>
      <c r="O20" s="22">
        <f t="shared" si="14"/>
        <v>-1.6752868053595105</v>
      </c>
      <c r="P20" s="22">
        <f t="shared" si="14"/>
        <v>-1.2262519864265298</v>
      </c>
    </row>
    <row r="21" spans="2:16" ht="17.399999999999999" customHeight="1" thickBot="1" x14ac:dyDescent="0.3">
      <c r="B21" s="312" t="s">
        <v>84</v>
      </c>
      <c r="C21" s="311" t="s">
        <v>85</v>
      </c>
      <c r="D21" s="16">
        <f>$D$15</f>
        <v>44330</v>
      </c>
      <c r="E21" s="21">
        <f t="shared" ref="E21:P21" si="15">E19*E37</f>
        <v>0</v>
      </c>
      <c r="F21" s="21">
        <f t="shared" si="15"/>
        <v>0</v>
      </c>
      <c r="G21" s="21">
        <f t="shared" si="15"/>
        <v>0</v>
      </c>
      <c r="H21" s="21">
        <f t="shared" si="15"/>
        <v>0</v>
      </c>
      <c r="I21" s="21">
        <f t="shared" si="15"/>
        <v>0</v>
      </c>
      <c r="J21" s="21">
        <f t="shared" si="15"/>
        <v>0.97396987157874348</v>
      </c>
      <c r="K21" s="21">
        <f t="shared" si="15"/>
        <v>1.4507660226122925</v>
      </c>
      <c r="L21" s="21">
        <f t="shared" si="15"/>
        <v>-0.15883673460335085</v>
      </c>
      <c r="M21" s="21">
        <f t="shared" si="15"/>
        <v>-0.38257685025118487</v>
      </c>
      <c r="N21" s="21">
        <f t="shared" si="15"/>
        <v>0</v>
      </c>
      <c r="O21" s="21">
        <f t="shared" si="15"/>
        <v>0</v>
      </c>
      <c r="P21" s="21">
        <f t="shared" si="15"/>
        <v>0</v>
      </c>
    </row>
    <row r="22" spans="2:16" ht="14.4" thickBot="1" x14ac:dyDescent="0.3">
      <c r="B22" s="317"/>
      <c r="C22" s="311"/>
      <c r="D22" s="16">
        <f>$D$16</f>
        <v>44314</v>
      </c>
      <c r="E22" s="22">
        <f t="shared" ref="E22:P22" si="16">E20*E37</f>
        <v>0</v>
      </c>
      <c r="F22" s="22">
        <f t="shared" si="16"/>
        <v>0</v>
      </c>
      <c r="G22" s="22">
        <f t="shared" si="16"/>
        <v>0</v>
      </c>
      <c r="H22" s="22">
        <f t="shared" si="16"/>
        <v>0</v>
      </c>
      <c r="I22" s="22">
        <f t="shared" si="16"/>
        <v>0</v>
      </c>
      <c r="J22" s="22">
        <f t="shared" si="16"/>
        <v>1.5617437493940851</v>
      </c>
      <c r="K22" s="22">
        <f t="shared" si="16"/>
        <v>1.6578291593682439</v>
      </c>
      <c r="L22" s="22">
        <f t="shared" si="16"/>
        <v>-0.22560495363455582</v>
      </c>
      <c r="M22" s="22">
        <f>M20*M37</f>
        <v>-0.6829995508804737</v>
      </c>
      <c r="N22" s="22">
        <f t="shared" si="16"/>
        <v>0</v>
      </c>
      <c r="O22" s="22">
        <f t="shared" si="16"/>
        <v>0</v>
      </c>
      <c r="P22" s="22">
        <f t="shared" si="16"/>
        <v>0</v>
      </c>
    </row>
    <row r="23" spans="2:16" ht="17.399999999999999" customHeight="1" thickBot="1" x14ac:dyDescent="0.3">
      <c r="B23" s="312" t="s">
        <v>86</v>
      </c>
      <c r="C23" s="311" t="s">
        <v>87</v>
      </c>
      <c r="D23" s="16">
        <f>$D$15</f>
        <v>44330</v>
      </c>
      <c r="E23" s="19"/>
      <c r="F23" s="19"/>
      <c r="G23" s="19"/>
      <c r="H23" s="19"/>
      <c r="I23" s="19"/>
      <c r="J23" s="21">
        <f t="shared" ref="J23:P23" si="17">J19*J38</f>
        <v>0.25508734731824234</v>
      </c>
      <c r="K23" s="21">
        <f t="shared" si="17"/>
        <v>0.3672365119895778</v>
      </c>
      <c r="L23" s="21">
        <f t="shared" si="17"/>
        <v>-3.5031660764648809E-2</v>
      </c>
      <c r="M23" s="21">
        <f t="shared" si="17"/>
        <v>-8.4377851684471844E-2</v>
      </c>
      <c r="N23" s="21">
        <f t="shared" si="17"/>
        <v>0</v>
      </c>
      <c r="O23" s="21">
        <f t="shared" si="17"/>
        <v>0</v>
      </c>
      <c r="P23" s="21">
        <f t="shared" si="17"/>
        <v>0</v>
      </c>
    </row>
    <row r="24" spans="2:16" ht="14.4" thickBot="1" x14ac:dyDescent="0.3">
      <c r="B24" s="312"/>
      <c r="C24" s="311"/>
      <c r="D24" s="16">
        <f>$D$16</f>
        <v>44314</v>
      </c>
      <c r="E24" s="19"/>
      <c r="F24" s="19"/>
      <c r="G24" s="19"/>
      <c r="H24" s="19"/>
      <c r="I24" s="19"/>
      <c r="J24" s="22">
        <f t="shared" ref="J24:P24" si="18">J20*J38</f>
        <v>0.40902812484130796</v>
      </c>
      <c r="K24" s="22">
        <f t="shared" si="18"/>
        <v>0.41965099021602165</v>
      </c>
      <c r="L24" s="22">
        <f t="shared" si="18"/>
        <v>-4.975748350837321E-2</v>
      </c>
      <c r="M24" s="22">
        <f t="shared" si="18"/>
        <v>-0.15063649242476609</v>
      </c>
      <c r="N24" s="22">
        <f t="shared" si="18"/>
        <v>0</v>
      </c>
      <c r="O24" s="22">
        <f t="shared" si="18"/>
        <v>0</v>
      </c>
      <c r="P24" s="22">
        <f t="shared" si="18"/>
        <v>0</v>
      </c>
    </row>
    <row r="25" spans="2:16" s="23" customFormat="1" ht="15.75" customHeight="1" thickBot="1" x14ac:dyDescent="0.3">
      <c r="B25" s="313" t="s">
        <v>88</v>
      </c>
      <c r="C25" s="315" t="s">
        <v>89</v>
      </c>
      <c r="D25" s="16">
        <f>$D$15</f>
        <v>44330</v>
      </c>
      <c r="E25" s="19"/>
      <c r="F25" s="19"/>
      <c r="G25" s="19"/>
      <c r="H25" s="19"/>
      <c r="I25" s="19"/>
      <c r="J25" s="21">
        <f t="shared" ref="J25:P25" si="19">J19*J39</f>
        <v>0.1098462261179034</v>
      </c>
      <c r="K25" s="21">
        <f t="shared" si="19"/>
        <v>0.16362022811416832</v>
      </c>
      <c r="L25" s="21">
        <f t="shared" si="19"/>
        <v>-1.6719656274036931E-2</v>
      </c>
      <c r="M25" s="21">
        <f t="shared" si="19"/>
        <v>-4.027124739486157E-2</v>
      </c>
      <c r="N25" s="21">
        <f t="shared" si="19"/>
        <v>0</v>
      </c>
      <c r="O25" s="21">
        <f t="shared" si="19"/>
        <v>0</v>
      </c>
      <c r="P25" s="21">
        <f t="shared" si="19"/>
        <v>0</v>
      </c>
    </row>
    <row r="26" spans="2:16" s="23" customFormat="1" ht="14.4" thickBot="1" x14ac:dyDescent="0.3">
      <c r="B26" s="314"/>
      <c r="C26" s="316"/>
      <c r="D26" s="16">
        <f>$D$16</f>
        <v>44314</v>
      </c>
      <c r="E26" s="19"/>
      <c r="F26" s="19"/>
      <c r="G26" s="19"/>
      <c r="H26" s="19"/>
      <c r="I26" s="19"/>
      <c r="J26" s="22">
        <f t="shared" ref="J26:P26" si="20">J20*J39</f>
        <v>0.17613651308955847</v>
      </c>
      <c r="K26" s="22">
        <f t="shared" si="20"/>
        <v>0.18697321346258389</v>
      </c>
      <c r="L26" s="22">
        <f t="shared" si="20"/>
        <v>-2.3747889856269036E-2</v>
      </c>
      <c r="M26" s="22">
        <f t="shared" si="20"/>
        <v>-7.1894689566365647E-2</v>
      </c>
      <c r="N26" s="22">
        <f t="shared" si="20"/>
        <v>0</v>
      </c>
      <c r="O26" s="22">
        <f t="shared" si="20"/>
        <v>0</v>
      </c>
      <c r="P26" s="22">
        <f t="shared" si="20"/>
        <v>0</v>
      </c>
    </row>
    <row r="27" spans="2:16" ht="14.4" thickBot="1" x14ac:dyDescent="0.3">
      <c r="B27" s="309" t="s">
        <v>90</v>
      </c>
      <c r="C27" s="311" t="s">
        <v>91</v>
      </c>
      <c r="D27" s="16">
        <f>$D$7</f>
        <v>44330</v>
      </c>
      <c r="E27" s="19">
        <f>E7/E11*100</f>
        <v>99.110145640816768</v>
      </c>
      <c r="F27" s="19">
        <f t="shared" ref="E27:L28" si="21">F7/F11*100</f>
        <v>99.936346797943443</v>
      </c>
      <c r="G27" s="19">
        <f t="shared" si="21"/>
        <v>100</v>
      </c>
      <c r="H27" s="19">
        <f t="shared" si="21"/>
        <v>101.57627773830917</v>
      </c>
      <c r="I27" s="19">
        <f t="shared" si="21"/>
        <v>105.88664028452639</v>
      </c>
      <c r="J27" s="19">
        <f t="shared" si="21"/>
        <v>109.62291976924077</v>
      </c>
      <c r="K27" s="19">
        <f t="shared" si="21"/>
        <v>112.72610535262272</v>
      </c>
      <c r="L27" s="19">
        <f t="shared" si="21"/>
        <v>113.99970643672428</v>
      </c>
      <c r="M27" s="19">
        <f t="shared" ref="M27:P27" si="22">M7/M11*100</f>
        <v>116.0333947876972</v>
      </c>
      <c r="N27" s="19">
        <f t="shared" si="22"/>
        <v>118.13682968747243</v>
      </c>
      <c r="O27" s="19">
        <f t="shared" si="22"/>
        <v>120.37454709324489</v>
      </c>
      <c r="P27" s="19">
        <f t="shared" si="22"/>
        <v>122.76677132911867</v>
      </c>
    </row>
    <row r="28" spans="2:16" ht="14.4" thickBot="1" x14ac:dyDescent="0.3">
      <c r="B28" s="310"/>
      <c r="C28" s="311"/>
      <c r="D28" s="16">
        <f>$D$8</f>
        <v>44330</v>
      </c>
      <c r="E28" s="19">
        <f t="shared" si="21"/>
        <v>99.110145640816768</v>
      </c>
      <c r="F28" s="19">
        <f>F8/F12*100</f>
        <v>99.936346797943443</v>
      </c>
      <c r="G28" s="19">
        <f t="shared" si="21"/>
        <v>100</v>
      </c>
      <c r="H28" s="19">
        <f t="shared" si="21"/>
        <v>101.57627773830917</v>
      </c>
      <c r="I28" s="19">
        <f t="shared" si="21"/>
        <v>105.88664028452639</v>
      </c>
      <c r="J28" s="19">
        <f t="shared" si="21"/>
        <v>109.62291976924077</v>
      </c>
      <c r="K28" s="19">
        <f t="shared" si="21"/>
        <v>112.72610535262272</v>
      </c>
      <c r="L28" s="19">
        <f>L8/L12*100</f>
        <v>113.94316080685201</v>
      </c>
      <c r="M28" s="19">
        <f t="shared" ref="M28:P28" si="23">M8/M12*100</f>
        <v>115.9758404167293</v>
      </c>
      <c r="N28" s="19">
        <f t="shared" si="23"/>
        <v>118.07823198003445</v>
      </c>
      <c r="O28" s="19">
        <f t="shared" si="23"/>
        <v>120.31483944312249</v>
      </c>
      <c r="P28" s="19">
        <f t="shared" si="23"/>
        <v>122.70587709851775</v>
      </c>
    </row>
    <row r="29" spans="2:16" ht="14.4" thickBot="1" x14ac:dyDescent="0.3">
      <c r="B29" s="309" t="s">
        <v>92</v>
      </c>
      <c r="C29" s="311" t="s">
        <v>93</v>
      </c>
      <c r="D29" s="16">
        <f>$D$7</f>
        <v>44330</v>
      </c>
      <c r="E29" s="19"/>
      <c r="F29" s="19">
        <f>(F27/E27-1)*100</f>
        <v>0.83361915350310678</v>
      </c>
      <c r="G29" s="19">
        <f t="shared" ref="G29:K30" si="24">(G27/F27-1)*100</f>
        <v>6.3693745164861149E-2</v>
      </c>
      <c r="H29" s="19">
        <f t="shared" si="24"/>
        <v>1.5762777383091731</v>
      </c>
      <c r="I29" s="19">
        <f t="shared" si="24"/>
        <v>4.2434736162728859</v>
      </c>
      <c r="J29" s="19">
        <f t="shared" si="24"/>
        <v>3.5285655250508308</v>
      </c>
      <c r="K29" s="19">
        <f t="shared" si="24"/>
        <v>2.830781728779197</v>
      </c>
      <c r="L29" s="19">
        <f>(L27/K27-1)*100</f>
        <v>1.1298191134321067</v>
      </c>
      <c r="M29" s="19">
        <f t="shared" ref="M29:P29" si="25">(M27/L27-1)*100</f>
        <v>1.7839417438339833</v>
      </c>
      <c r="N29" s="19">
        <f t="shared" si="25"/>
        <v>1.8127840727437228</v>
      </c>
      <c r="O29" s="19">
        <f t="shared" si="25"/>
        <v>1.894174248362912</v>
      </c>
      <c r="P29" s="19">
        <f t="shared" si="25"/>
        <v>1.9873173304824299</v>
      </c>
    </row>
    <row r="30" spans="2:16" ht="14.4" thickBot="1" x14ac:dyDescent="0.3">
      <c r="B30" s="310"/>
      <c r="C30" s="311"/>
      <c r="D30" s="16">
        <f>$D$8</f>
        <v>44330</v>
      </c>
      <c r="E30" s="19"/>
      <c r="F30" s="19">
        <f t="shared" ref="F30:I30" si="26">(F28/E28-1)*100</f>
        <v>0.83361915350310678</v>
      </c>
      <c r="G30" s="19">
        <f t="shared" si="26"/>
        <v>6.3693745164861149E-2</v>
      </c>
      <c r="H30" s="19">
        <f t="shared" si="26"/>
        <v>1.5762777383091731</v>
      </c>
      <c r="I30" s="19">
        <f t="shared" si="26"/>
        <v>4.2434736162728859</v>
      </c>
      <c r="J30" s="19">
        <f t="shared" si="24"/>
        <v>3.5285655250508308</v>
      </c>
      <c r="K30" s="19">
        <f>(K28/J28-1)*100</f>
        <v>2.830781728779197</v>
      </c>
      <c r="L30" s="19">
        <f>(L28/K28-1)*100</f>
        <v>1.0796571481132666</v>
      </c>
      <c r="M30" s="19">
        <f t="shared" ref="M30:P30" si="27">(M28/L28-1)*100</f>
        <v>1.7839417438339611</v>
      </c>
      <c r="N30" s="19">
        <f t="shared" si="27"/>
        <v>1.8127840727437228</v>
      </c>
      <c r="O30" s="19">
        <f t="shared" si="27"/>
        <v>1.8941742483629342</v>
      </c>
      <c r="P30" s="19">
        <f t="shared" si="27"/>
        <v>1.9873173304824077</v>
      </c>
    </row>
    <row r="31" spans="2:16" ht="28.8" thickBot="1" x14ac:dyDescent="0.3">
      <c r="B31" s="213" t="s">
        <v>94</v>
      </c>
      <c r="C31" s="214" t="s">
        <v>95</v>
      </c>
      <c r="D31" s="16">
        <v>44330</v>
      </c>
      <c r="E31" s="17">
        <v>11517.118699999999</v>
      </c>
      <c r="F31" s="17">
        <v>11781.64</v>
      </c>
      <c r="G31" s="17">
        <v>12211.5429</v>
      </c>
      <c r="H31" s="17">
        <v>12551.0016</v>
      </c>
      <c r="I31" s="17">
        <v>13069.785599999999</v>
      </c>
      <c r="J31" s="17">
        <v>13518.5332</v>
      </c>
      <c r="K31" s="17">
        <v>13965.4413</v>
      </c>
      <c r="L31" s="17">
        <v>13305.8138</v>
      </c>
      <c r="M31" s="234"/>
      <c r="N31" s="234"/>
      <c r="O31" s="234"/>
      <c r="P31" s="234"/>
    </row>
    <row r="32" spans="2:16" ht="29.25" customHeight="1" thickBot="1" x14ac:dyDescent="0.3">
      <c r="B32" s="213" t="s">
        <v>96</v>
      </c>
      <c r="C32" s="214" t="s">
        <v>97</v>
      </c>
      <c r="D32" s="16">
        <f>$D$31</f>
        <v>44330</v>
      </c>
      <c r="E32" s="18"/>
      <c r="F32" s="18">
        <f>(F31/E31-1)*100</f>
        <v>2.2967662910342357</v>
      </c>
      <c r="G32" s="18">
        <f t="shared" ref="G32:I32" si="28">(G31/F31-1)*100</f>
        <v>3.6489223911102542</v>
      </c>
      <c r="H32" s="18">
        <f t="shared" si="28"/>
        <v>2.7798182652251091</v>
      </c>
      <c r="I32" s="18">
        <f t="shared" si="28"/>
        <v>4.1334071696716101</v>
      </c>
      <c r="J32" s="18">
        <f>(J31/I31-1)*100</f>
        <v>3.4334733080854773</v>
      </c>
      <c r="K32" s="18">
        <f>(K31/J31-1)*100</f>
        <v>3.305891943957362</v>
      </c>
      <c r="L32" s="18">
        <f>(L31/K31-1)*100</f>
        <v>-4.7232843261458601</v>
      </c>
      <c r="M32" s="234"/>
      <c r="N32" s="234"/>
      <c r="O32" s="234"/>
      <c r="P32" s="234"/>
    </row>
    <row r="33" spans="2:16" s="25" customFormat="1" ht="14.4" thickBot="1" x14ac:dyDescent="0.3">
      <c r="B33" s="313" t="s">
        <v>98</v>
      </c>
      <c r="C33" s="315" t="s">
        <v>99</v>
      </c>
      <c r="D33" s="16">
        <v>44330</v>
      </c>
      <c r="E33" s="17">
        <v>-913</v>
      </c>
      <c r="F33" s="17">
        <v>-226.2</v>
      </c>
      <c r="G33" s="17">
        <v>-100.7</v>
      </c>
      <c r="H33" s="17">
        <v>90.3</v>
      </c>
      <c r="I33" s="17">
        <v>203.6</v>
      </c>
      <c r="J33" s="17">
        <v>282.89999999999998</v>
      </c>
      <c r="K33" s="17">
        <v>224.2</v>
      </c>
      <c r="L33" s="17">
        <v>-3598.3</v>
      </c>
      <c r="M33" s="234"/>
      <c r="N33" s="234"/>
      <c r="O33" s="234"/>
      <c r="P33" s="234"/>
    </row>
    <row r="34" spans="2:16" s="25" customFormat="1" ht="14.4" thickBot="1" x14ac:dyDescent="0.3">
      <c r="B34" s="321"/>
      <c r="C34" s="316"/>
      <c r="D34" s="16">
        <v>44330</v>
      </c>
      <c r="E34" s="17">
        <v>-913</v>
      </c>
      <c r="F34" s="17">
        <v>-226.2</v>
      </c>
      <c r="G34" s="17">
        <v>-100.7</v>
      </c>
      <c r="H34" s="17">
        <v>90.3</v>
      </c>
      <c r="I34" s="17">
        <v>203.6</v>
      </c>
      <c r="J34" s="17">
        <v>282.89999999999998</v>
      </c>
      <c r="K34" s="17">
        <v>224.2</v>
      </c>
      <c r="L34" s="17">
        <v>-3598.3</v>
      </c>
      <c r="M34" s="234"/>
      <c r="N34" s="234"/>
      <c r="O34" s="234"/>
      <c r="P34" s="234"/>
    </row>
    <row r="35" spans="2:16" ht="14.4" thickBot="1" x14ac:dyDescent="0.3">
      <c r="B35" s="309" t="s">
        <v>100</v>
      </c>
      <c r="C35" s="311" t="s">
        <v>101</v>
      </c>
      <c r="D35" s="16">
        <f>+D33</f>
        <v>44330</v>
      </c>
      <c r="E35" s="19">
        <f t="shared" ref="E35:L36" si="29">E33/E7*100</f>
        <v>-2.6056307881105609</v>
      </c>
      <c r="F35" s="19">
        <f t="shared" si="29"/>
        <v>-0.61834871915432188</v>
      </c>
      <c r="G35" s="19">
        <f t="shared" si="29"/>
        <v>-0.26964282367180159</v>
      </c>
      <c r="H35" s="19">
        <f t="shared" si="29"/>
        <v>0.2321939629569631</v>
      </c>
      <c r="I35" s="19">
        <f t="shared" si="29"/>
        <v>0.48159370616633901</v>
      </c>
      <c r="J35" s="19">
        <f t="shared" si="29"/>
        <v>0.62187988419712859</v>
      </c>
      <c r="K35" s="19">
        <f t="shared" si="29"/>
        <v>0.45934527931553049</v>
      </c>
      <c r="L35" s="19">
        <f t="shared" si="29"/>
        <v>-7.3540201554475102</v>
      </c>
      <c r="M35" s="234"/>
      <c r="N35" s="234"/>
      <c r="O35" s="234"/>
      <c r="P35" s="234"/>
    </row>
    <row r="36" spans="2:16" ht="14.4" thickBot="1" x14ac:dyDescent="0.3">
      <c r="B36" s="310"/>
      <c r="C36" s="311"/>
      <c r="D36" s="16">
        <f>D8</f>
        <v>44330</v>
      </c>
      <c r="E36" s="19">
        <f t="shared" si="29"/>
        <v>-2.6056307881105609</v>
      </c>
      <c r="F36" s="19">
        <f t="shared" si="29"/>
        <v>-0.61834871915432188</v>
      </c>
      <c r="G36" s="19">
        <f t="shared" si="29"/>
        <v>-0.26964282367180159</v>
      </c>
      <c r="H36" s="19">
        <f t="shared" si="29"/>
        <v>0.2321939629569631</v>
      </c>
      <c r="I36" s="19">
        <f t="shared" si="29"/>
        <v>0.48159370616633901</v>
      </c>
      <c r="J36" s="19">
        <f t="shared" si="29"/>
        <v>0.62187988419712859</v>
      </c>
      <c r="K36" s="19">
        <f t="shared" si="29"/>
        <v>0.45934527931553049</v>
      </c>
      <c r="L36" s="19">
        <f t="shared" si="29"/>
        <v>-7.3540201554475102</v>
      </c>
      <c r="M36" s="234"/>
      <c r="N36" s="234"/>
      <c r="O36" s="234"/>
      <c r="P36" s="234"/>
    </row>
    <row r="37" spans="2:16" ht="36.75" customHeight="1" thickBot="1" x14ac:dyDescent="0.3">
      <c r="B37" s="213" t="s">
        <v>102</v>
      </c>
      <c r="C37" s="218" t="s">
        <v>103</v>
      </c>
      <c r="D37" s="16">
        <v>43910</v>
      </c>
      <c r="E37" s="28"/>
      <c r="F37" s="28"/>
      <c r="G37" s="28"/>
      <c r="H37" s="28"/>
      <c r="I37" s="28"/>
      <c r="J37" s="27">
        <v>0.39900000000000002</v>
      </c>
      <c r="K37" s="27">
        <v>0.39900000000000002</v>
      </c>
      <c r="L37" s="27">
        <v>0.39900000000000002</v>
      </c>
      <c r="M37" s="27">
        <v>0.39900000000000002</v>
      </c>
      <c r="N37" s="234"/>
      <c r="O37" s="234"/>
      <c r="P37" s="234"/>
    </row>
    <row r="38" spans="2:16" ht="36.75" customHeight="1" thickBot="1" x14ac:dyDescent="0.3">
      <c r="B38" s="213" t="s">
        <v>104</v>
      </c>
      <c r="C38" s="218" t="s">
        <v>105</v>
      </c>
      <c r="D38" s="16">
        <f>D26</f>
        <v>44314</v>
      </c>
      <c r="E38" s="28"/>
      <c r="F38" s="28"/>
      <c r="G38" s="28"/>
      <c r="H38" s="28"/>
      <c r="I38" s="28"/>
      <c r="J38" s="22">
        <v>0.1045</v>
      </c>
      <c r="K38" s="22">
        <v>0.10100000000000001</v>
      </c>
      <c r="L38" s="22">
        <v>8.7999999999999995E-2</v>
      </c>
      <c r="M38" s="22">
        <v>8.7999999999999995E-2</v>
      </c>
      <c r="N38" s="234"/>
      <c r="O38" s="234"/>
      <c r="P38" s="234"/>
    </row>
    <row r="39" spans="2:16" ht="36.75" customHeight="1" thickBot="1" x14ac:dyDescent="0.3">
      <c r="B39" s="215" t="s">
        <v>106</v>
      </c>
      <c r="C39" s="214" t="s">
        <v>107</v>
      </c>
      <c r="D39" s="16">
        <f>D26</f>
        <v>44314</v>
      </c>
      <c r="E39" s="28"/>
      <c r="F39" s="28"/>
      <c r="G39" s="28"/>
      <c r="H39" s="28"/>
      <c r="I39" s="28"/>
      <c r="J39" s="20">
        <v>4.4999999999999998E-2</v>
      </c>
      <c r="K39" s="20">
        <v>4.4999999999999998E-2</v>
      </c>
      <c r="L39" s="20">
        <v>4.2000000000000003E-2</v>
      </c>
      <c r="M39" s="20">
        <v>4.2000000000000003E-2</v>
      </c>
      <c r="N39" s="234"/>
      <c r="O39" s="234"/>
      <c r="P39" s="234"/>
    </row>
    <row r="40" spans="2:16" x14ac:dyDescent="0.25">
      <c r="B40" s="29"/>
      <c r="C40" s="29"/>
      <c r="D40" s="29"/>
    </row>
    <row r="41" spans="2:16" ht="15" thickBot="1" x14ac:dyDescent="0.35">
      <c r="C41" s="10" t="s">
        <v>51</v>
      </c>
      <c r="E41" s="303" t="s">
        <v>52</v>
      </c>
      <c r="F41" s="303"/>
      <c r="G41" s="303"/>
      <c r="H41" s="303"/>
      <c r="I41" s="303"/>
      <c r="J41" s="303"/>
      <c r="M41" s="236"/>
    </row>
    <row r="42" spans="2:16" ht="15" thickBot="1" x14ac:dyDescent="0.35">
      <c r="C42" s="10" t="s">
        <v>108</v>
      </c>
      <c r="D42" s="30"/>
      <c r="E42" s="322" t="s">
        <v>109</v>
      </c>
      <c r="F42" s="303"/>
      <c r="G42" s="303"/>
      <c r="H42" s="303"/>
      <c r="I42" s="303"/>
      <c r="J42" s="303"/>
      <c r="K42" s="24"/>
      <c r="L42" s="24"/>
    </row>
    <row r="43" spans="2:16" ht="15" thickBot="1" x14ac:dyDescent="0.35">
      <c r="B43" s="10" t="s">
        <v>295</v>
      </c>
      <c r="C43" s="10" t="s">
        <v>110</v>
      </c>
      <c r="D43" s="31"/>
      <c r="E43" s="322" t="s">
        <v>111</v>
      </c>
      <c r="F43" s="303"/>
      <c r="G43" s="303"/>
      <c r="H43" s="303"/>
      <c r="I43" s="303"/>
      <c r="J43" s="303"/>
      <c r="K43" s="24"/>
      <c r="L43" s="24"/>
    </row>
    <row r="44" spans="2:16" ht="15" customHeight="1" thickBot="1" x14ac:dyDescent="0.35">
      <c r="B44" s="10"/>
      <c r="C44" s="10" t="s">
        <v>112</v>
      </c>
      <c r="D44" s="32"/>
      <c r="E44" s="323" t="s">
        <v>113</v>
      </c>
      <c r="F44" s="324"/>
      <c r="G44" s="324"/>
      <c r="H44" s="324"/>
      <c r="I44" s="324"/>
      <c r="J44" s="324"/>
      <c r="K44" s="324"/>
      <c r="L44" s="324"/>
    </row>
    <row r="45" spans="2:16" ht="15" thickBot="1" x14ac:dyDescent="0.35">
      <c r="C45" s="10" t="s">
        <v>114</v>
      </c>
      <c r="E45" s="303" t="s">
        <v>115</v>
      </c>
      <c r="F45" s="303"/>
      <c r="G45" s="303"/>
      <c r="H45" s="303"/>
      <c r="I45" s="303"/>
      <c r="J45" s="303"/>
    </row>
    <row r="46" spans="2:16" ht="14.4" thickBot="1" x14ac:dyDescent="0.3">
      <c r="C46" s="33" t="s">
        <v>116</v>
      </c>
      <c r="D46" s="34"/>
      <c r="E46" s="304" t="s">
        <v>117</v>
      </c>
      <c r="F46" s="305"/>
      <c r="G46" s="305"/>
      <c r="H46" s="305"/>
      <c r="I46" s="305"/>
      <c r="J46" s="305"/>
    </row>
    <row r="47" spans="2:16" x14ac:dyDescent="0.25">
      <c r="C47" s="36" t="s">
        <v>118</v>
      </c>
      <c r="D47" s="37">
        <v>4.9999999999999899E-2</v>
      </c>
      <c r="E47" s="35"/>
    </row>
    <row r="48" spans="2:16" x14ac:dyDescent="0.25">
      <c r="E48" s="35"/>
    </row>
    <row r="49" spans="5:16" x14ac:dyDescent="0.25">
      <c r="E49" s="35"/>
    </row>
    <row r="50" spans="5:16" x14ac:dyDescent="0.25">
      <c r="E50" s="35"/>
      <c r="J50" s="38"/>
      <c r="K50" s="38"/>
    </row>
    <row r="51" spans="5:16" x14ac:dyDescent="0.25">
      <c r="E51" s="35"/>
      <c r="J51" s="38"/>
      <c r="K51" s="38"/>
    </row>
    <row r="52" spans="5:16" x14ac:dyDescent="0.25">
      <c r="E52" s="35"/>
      <c r="J52" s="38"/>
      <c r="K52" s="38"/>
      <c r="P52" s="237"/>
    </row>
    <row r="53" spans="5:16" x14ac:dyDescent="0.25">
      <c r="E53" s="35"/>
      <c r="J53" s="38"/>
      <c r="K53" s="38"/>
      <c r="P53" s="237"/>
    </row>
    <row r="54" spans="5:16" x14ac:dyDescent="0.25">
      <c r="E54" s="35"/>
      <c r="J54" s="38"/>
      <c r="K54" s="38"/>
      <c r="P54" s="237"/>
    </row>
    <row r="55" spans="5:16" x14ac:dyDescent="0.25">
      <c r="J55" s="38"/>
      <c r="K55" s="38"/>
      <c r="P55" s="237"/>
    </row>
    <row r="56" spans="5:16" x14ac:dyDescent="0.25">
      <c r="J56" s="38"/>
      <c r="K56" s="38"/>
      <c r="P56" s="237"/>
    </row>
    <row r="57" spans="5:16" x14ac:dyDescent="0.25">
      <c r="J57" s="38"/>
      <c r="K57" s="38"/>
      <c r="P57" s="237"/>
    </row>
    <row r="58" spans="5:16" x14ac:dyDescent="0.25">
      <c r="J58" s="38"/>
      <c r="K58" s="38"/>
      <c r="P58" s="237"/>
    </row>
    <row r="59" spans="5:16" x14ac:dyDescent="0.25">
      <c r="J59" s="38"/>
      <c r="K59" s="38"/>
      <c r="P59" s="237"/>
    </row>
    <row r="60" spans="5:16" x14ac:dyDescent="0.25">
      <c r="J60" s="38"/>
      <c r="K60" s="38"/>
      <c r="P60" s="237"/>
    </row>
    <row r="61" spans="5:16" x14ac:dyDescent="0.25">
      <c r="J61" s="38"/>
      <c r="K61" s="38"/>
      <c r="M61" s="237"/>
    </row>
  </sheetData>
  <mergeCells count="40">
    <mergeCell ref="E42:J42"/>
    <mergeCell ref="E43:J43"/>
    <mergeCell ref="E44:L44"/>
    <mergeCell ref="M4:P4"/>
    <mergeCell ref="C27:C28"/>
    <mergeCell ref="C4:C5"/>
    <mergeCell ref="E4:L4"/>
    <mergeCell ref="B35:B36"/>
    <mergeCell ref="C35:C36"/>
    <mergeCell ref="B29:B30"/>
    <mergeCell ref="C29:C30"/>
    <mergeCell ref="B33:B34"/>
    <mergeCell ref="C33:C34"/>
    <mergeCell ref="B15:B16"/>
    <mergeCell ref="C15:C16"/>
    <mergeCell ref="B17:B18"/>
    <mergeCell ref="C17:C18"/>
    <mergeCell ref="B11:B12"/>
    <mergeCell ref="C11:C12"/>
    <mergeCell ref="B9:B10"/>
    <mergeCell ref="C9:C10"/>
    <mergeCell ref="D4:D5"/>
    <mergeCell ref="B7:B8"/>
    <mergeCell ref="C7:C8"/>
    <mergeCell ref="E45:J45"/>
    <mergeCell ref="E46:J46"/>
    <mergeCell ref="B3:P3"/>
    <mergeCell ref="B13:B14"/>
    <mergeCell ref="C13:C14"/>
    <mergeCell ref="B23:B24"/>
    <mergeCell ref="C23:C24"/>
    <mergeCell ref="B25:B26"/>
    <mergeCell ref="C25:C26"/>
    <mergeCell ref="B19:B20"/>
    <mergeCell ref="C19:C20"/>
    <mergeCell ref="B21:B22"/>
    <mergeCell ref="C21:C22"/>
    <mergeCell ref="B27:B28"/>
    <mergeCell ref="E41:J41"/>
    <mergeCell ref="B4:B5"/>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5"/>
  </sheetPr>
  <dimension ref="A1:M42"/>
  <sheetViews>
    <sheetView showGridLines="0" showRowColHeaders="0" zoomScaleNormal="100" workbookViewId="0">
      <selection activeCell="B1" sqref="B1"/>
    </sheetView>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9" x14ac:dyDescent="0.25">
      <c r="B1" s="227" t="s">
        <v>19</v>
      </c>
      <c r="C1" s="3"/>
      <c r="D1" s="3"/>
      <c r="E1" s="3"/>
      <c r="F1" s="3"/>
      <c r="G1" s="3"/>
      <c r="H1" s="3"/>
    </row>
    <row r="2" spans="1:9" ht="14.4" thickBot="1" x14ac:dyDescent="0.3">
      <c r="A2" s="12"/>
    </row>
    <row r="3" spans="1:9" ht="34.200000000000003" customHeight="1" thickBot="1" x14ac:dyDescent="0.3">
      <c r="B3" s="328" t="s">
        <v>119</v>
      </c>
      <c r="C3" s="329"/>
      <c r="D3" s="239"/>
      <c r="E3" s="239"/>
      <c r="F3" s="239"/>
      <c r="G3" s="239"/>
      <c r="H3" s="240"/>
    </row>
    <row r="4" spans="1:9" ht="21.75" customHeight="1" thickBot="1" x14ac:dyDescent="0.3">
      <c r="B4" s="330" t="s">
        <v>58</v>
      </c>
      <c r="C4" s="330" t="s">
        <v>120</v>
      </c>
      <c r="D4" s="330" t="s">
        <v>121</v>
      </c>
      <c r="E4" s="333" t="s">
        <v>24</v>
      </c>
      <c r="F4" s="334"/>
      <c r="G4" s="338" t="s">
        <v>25</v>
      </c>
      <c r="H4" s="339"/>
    </row>
    <row r="5" spans="1:9" ht="14.4" thickBot="1" x14ac:dyDescent="0.3">
      <c r="B5" s="331"/>
      <c r="C5" s="332"/>
      <c r="D5" s="332"/>
      <c r="E5" s="92">
        <v>2020</v>
      </c>
      <c r="F5" s="9" t="s">
        <v>302</v>
      </c>
      <c r="G5" s="93">
        <f>E5</f>
        <v>2020</v>
      </c>
      <c r="H5" s="94" t="str">
        <f>F5</f>
        <v>2021 P</v>
      </c>
    </row>
    <row r="6" spans="1:9" ht="28.8" thickBot="1" x14ac:dyDescent="0.3">
      <c r="B6" s="213" t="s">
        <v>122</v>
      </c>
      <c r="C6" s="217"/>
      <c r="D6" s="108" t="s">
        <v>123</v>
      </c>
      <c r="E6" s="95">
        <f>'2. Macro'!L8</f>
        <v>48929.7</v>
      </c>
      <c r="F6" s="95">
        <f>'2. Macro'!M8</f>
        <v>51107.875863920039</v>
      </c>
      <c r="G6" s="95">
        <f>'2. Macro'!L7</f>
        <v>48929.7</v>
      </c>
      <c r="H6" s="111">
        <f>'2. Macro'!M7</f>
        <v>51107.875863920039</v>
      </c>
    </row>
    <row r="7" spans="1:9" s="23" customFormat="1" ht="14.4" thickBot="1" x14ac:dyDescent="0.3">
      <c r="B7" s="313" t="s">
        <v>124</v>
      </c>
      <c r="C7" s="335" t="s">
        <v>125</v>
      </c>
      <c r="D7" s="163" t="s">
        <v>123</v>
      </c>
      <c r="E7" s="95">
        <f>E13-E15</f>
        <v>-3598.25</v>
      </c>
      <c r="F7" s="95">
        <f>F13-F15</f>
        <v>-4264</v>
      </c>
      <c r="G7" s="95">
        <f>G13-G15</f>
        <v>-3598.25</v>
      </c>
      <c r="H7" s="111">
        <f>H13-H15</f>
        <v>-4240.8834228038977</v>
      </c>
    </row>
    <row r="8" spans="1:9" s="23" customFormat="1" ht="14.4" thickBot="1" x14ac:dyDescent="0.3">
      <c r="B8" s="314"/>
      <c r="C8" s="336"/>
      <c r="D8" s="163" t="s">
        <v>126</v>
      </c>
      <c r="E8" s="95">
        <f>E7/$E$6*100</f>
        <v>-7.3539179680235112</v>
      </c>
      <c r="F8" s="95">
        <f>F7/$F$6*100</f>
        <v>-8.3431368021502923</v>
      </c>
      <c r="G8" s="95">
        <f>G7/$G$6*100</f>
        <v>-7.3539179680235112</v>
      </c>
      <c r="H8" s="111">
        <f>H7/$H$6*100</f>
        <v>-8.2979058532890022</v>
      </c>
    </row>
    <row r="9" spans="1:9" s="23" customFormat="1" ht="14.4" thickBot="1" x14ac:dyDescent="0.3">
      <c r="B9" s="340" t="s">
        <v>127</v>
      </c>
      <c r="C9" s="335" t="s">
        <v>128</v>
      </c>
      <c r="D9" s="163" t="s">
        <v>123</v>
      </c>
      <c r="E9" s="95">
        <v>242.36670599999832</v>
      </c>
      <c r="F9" s="99">
        <f>134.595</f>
        <v>134.595</v>
      </c>
      <c r="G9" s="95">
        <f>E9</f>
        <v>242.36670599999832</v>
      </c>
      <c r="H9" s="111">
        <f>F9</f>
        <v>134.595</v>
      </c>
    </row>
    <row r="10" spans="1:9" s="23" customFormat="1" ht="14.4" thickBot="1" x14ac:dyDescent="0.3">
      <c r="B10" s="341"/>
      <c r="C10" s="336"/>
      <c r="D10" s="163" t="s">
        <v>126</v>
      </c>
      <c r="E10" s="95">
        <f>E9/$E$6*100</f>
        <v>0.49533658698090999</v>
      </c>
      <c r="F10" s="95">
        <f>F9/$F$6*100</f>
        <v>0.2633547133877624</v>
      </c>
      <c r="G10" s="95">
        <f>G9/$G$6*100</f>
        <v>0.49533658698090999</v>
      </c>
      <c r="H10" s="111">
        <f>H9/$H$6*100</f>
        <v>0.2633547133877624</v>
      </c>
      <c r="I10" s="40"/>
    </row>
    <row r="11" spans="1:9" s="23" customFormat="1" ht="14.4" thickBot="1" x14ac:dyDescent="0.3">
      <c r="B11" s="340" t="s">
        <v>129</v>
      </c>
      <c r="C11" s="335" t="s">
        <v>130</v>
      </c>
      <c r="D11" s="163" t="s">
        <v>123</v>
      </c>
      <c r="E11" s="95">
        <v>33.933294000002199</v>
      </c>
      <c r="F11" s="99">
        <v>37.173000000000002</v>
      </c>
      <c r="G11" s="95">
        <f>E11</f>
        <v>33.933294000002199</v>
      </c>
      <c r="H11" s="111">
        <f>F11</f>
        <v>37.173000000000002</v>
      </c>
      <c r="I11" s="40"/>
    </row>
    <row r="12" spans="1:9" s="23" customFormat="1" ht="14.4" thickBot="1" x14ac:dyDescent="0.3">
      <c r="B12" s="341"/>
      <c r="C12" s="336"/>
      <c r="D12" s="163" t="s">
        <v>126</v>
      </c>
      <c r="E12" s="95">
        <f>E11/$E$6*100</f>
        <v>6.9351118032610459E-2</v>
      </c>
      <c r="F12" s="95">
        <f>F11/$F$6*100</f>
        <v>7.2734386572779752E-2</v>
      </c>
      <c r="G12" s="95">
        <f>G11/$G$6*100</f>
        <v>6.9351118032610459E-2</v>
      </c>
      <c r="H12" s="111">
        <f>H11/$H$6*100</f>
        <v>7.2734386572779752E-2</v>
      </c>
    </row>
    <row r="13" spans="1:9" s="23" customFormat="1" ht="14.4" thickBot="1" x14ac:dyDescent="0.3">
      <c r="B13" s="313" t="s">
        <v>131</v>
      </c>
      <c r="C13" s="315" t="s">
        <v>132</v>
      </c>
      <c r="D13" s="163" t="s">
        <v>123</v>
      </c>
      <c r="E13" s="95">
        <v>17614.527999999998</v>
      </c>
      <c r="F13" s="99">
        <v>18596</v>
      </c>
      <c r="G13" s="95">
        <f>E13</f>
        <v>17614.527999999998</v>
      </c>
      <c r="H13" s="267">
        <v>18669.111855049301</v>
      </c>
    </row>
    <row r="14" spans="1:9" s="23" customFormat="1" ht="14.4" thickBot="1" x14ac:dyDescent="0.3">
      <c r="B14" s="321"/>
      <c r="C14" s="316"/>
      <c r="D14" s="163" t="s">
        <v>126</v>
      </c>
      <c r="E14" s="95">
        <f>E13/$E$6*100</f>
        <v>35.999664825249283</v>
      </c>
      <c r="F14" s="95">
        <f>F13/$F$6*100</f>
        <v>36.385781419509108</v>
      </c>
      <c r="G14" s="95">
        <f>G13/$G$6*100</f>
        <v>35.999664825249283</v>
      </c>
      <c r="H14" s="111">
        <f>H13/$H$6*100</f>
        <v>36.528835408377617</v>
      </c>
    </row>
    <row r="15" spans="1:9" s="23" customFormat="1" ht="14.4" thickBot="1" x14ac:dyDescent="0.3">
      <c r="B15" s="313" t="s">
        <v>133</v>
      </c>
      <c r="C15" s="315" t="s">
        <v>134</v>
      </c>
      <c r="D15" s="163" t="s">
        <v>123</v>
      </c>
      <c r="E15" s="95">
        <v>21212.777999999998</v>
      </c>
      <c r="F15" s="99">
        <v>22860</v>
      </c>
      <c r="G15" s="95">
        <f>E15</f>
        <v>21212.777999999998</v>
      </c>
      <c r="H15" s="267">
        <v>22909.995277853199</v>
      </c>
      <c r="I15" s="269"/>
    </row>
    <row r="16" spans="1:9" s="23" customFormat="1" ht="14.4" thickBot="1" x14ac:dyDescent="0.3">
      <c r="B16" s="321"/>
      <c r="C16" s="316"/>
      <c r="D16" s="163" t="s">
        <v>126</v>
      </c>
      <c r="E16" s="95">
        <f>E15/$E$6*100</f>
        <v>43.3535827932728</v>
      </c>
      <c r="F16" s="95">
        <f>F15/$F$6*100</f>
        <v>44.728918221659406</v>
      </c>
      <c r="G16" s="95">
        <f>G15/$G$6*100</f>
        <v>43.3535827932728</v>
      </c>
      <c r="H16" s="111">
        <f>H15/$H$6*100</f>
        <v>44.826741261666619</v>
      </c>
    </row>
    <row r="17" spans="2:8" s="23" customFormat="1" ht="14.4" thickBot="1" x14ac:dyDescent="0.3">
      <c r="B17" s="340" t="s">
        <v>135</v>
      </c>
      <c r="C17" s="315" t="s">
        <v>136</v>
      </c>
      <c r="D17" s="163" t="s">
        <v>123</v>
      </c>
      <c r="E17" s="95"/>
      <c r="F17" s="271"/>
      <c r="G17" s="95">
        <v>10754.433999999999</v>
      </c>
      <c r="H17" s="267">
        <v>10240.044</v>
      </c>
    </row>
    <row r="18" spans="2:8" s="23" customFormat="1" ht="14.4" thickBot="1" x14ac:dyDescent="0.3">
      <c r="B18" s="341"/>
      <c r="C18" s="316"/>
      <c r="D18" s="163" t="s">
        <v>126</v>
      </c>
      <c r="E18" s="95"/>
      <c r="F18" s="95"/>
      <c r="G18" s="95">
        <f>G17/$G$6*100</f>
        <v>21.979358140352385</v>
      </c>
      <c r="H18" s="111">
        <f>H17/$H$6*100</f>
        <v>20.036136949352322</v>
      </c>
    </row>
    <row r="19" spans="2:8" s="23" customFormat="1" ht="14.4" thickBot="1" x14ac:dyDescent="0.3">
      <c r="B19" s="340" t="s">
        <v>137</v>
      </c>
      <c r="C19" s="315" t="s">
        <v>138</v>
      </c>
      <c r="D19" s="163" t="s">
        <v>123</v>
      </c>
      <c r="E19" s="95"/>
      <c r="F19" s="271"/>
      <c r="G19" s="95">
        <v>6932.8226999999997</v>
      </c>
      <c r="H19" s="267">
        <v>7542.6490000000003</v>
      </c>
    </row>
    <row r="20" spans="2:8" s="23" customFormat="1" ht="14.4" thickBot="1" x14ac:dyDescent="0.3">
      <c r="B20" s="342"/>
      <c r="C20" s="316"/>
      <c r="D20" s="163" t="s">
        <v>126</v>
      </c>
      <c r="E20" s="95"/>
      <c r="F20" s="95"/>
      <c r="G20" s="95">
        <f>G19/$G$6*100</f>
        <v>14.16894585497152</v>
      </c>
      <c r="H20" s="111">
        <f>H19/$H$6*100</f>
        <v>14.75829091407179</v>
      </c>
    </row>
    <row r="21" spans="2:8" s="23" customFormat="1" ht="14.4" thickBot="1" x14ac:dyDescent="0.3">
      <c r="B21" s="313" t="s">
        <v>139</v>
      </c>
      <c r="C21" s="335" t="s">
        <v>140</v>
      </c>
      <c r="D21" s="163" t="s">
        <v>123</v>
      </c>
      <c r="E21" s="95"/>
      <c r="F21" s="95"/>
      <c r="G21" s="95">
        <f>G19+G17</f>
        <v>17687.256699999998</v>
      </c>
      <c r="H21" s="111">
        <f>H17+H19</f>
        <v>17782.692999999999</v>
      </c>
    </row>
    <row r="22" spans="2:8" s="23" customFormat="1" ht="16.5" customHeight="1" thickBot="1" x14ac:dyDescent="0.3">
      <c r="B22" s="314"/>
      <c r="C22" s="336"/>
      <c r="D22" s="163" t="s">
        <v>126</v>
      </c>
      <c r="E22" s="95"/>
      <c r="F22" s="95"/>
      <c r="G22" s="95">
        <f>G21/$G$6*100</f>
        <v>36.1483039953239</v>
      </c>
      <c r="H22" s="111">
        <f>H21/$H$6*100</f>
        <v>34.794427863424112</v>
      </c>
    </row>
    <row r="23" spans="2:8" s="23" customFormat="1" ht="14.4" thickBot="1" x14ac:dyDescent="0.3">
      <c r="B23" s="313" t="s">
        <v>141</v>
      </c>
      <c r="C23" s="315" t="s">
        <v>142</v>
      </c>
      <c r="D23" s="163" t="s">
        <v>123</v>
      </c>
      <c r="E23" s="268">
        <v>2.2999999999999998</v>
      </c>
      <c r="F23" s="100">
        <v>3.36</v>
      </c>
      <c r="G23" s="268">
        <v>2.2999999999999998</v>
      </c>
      <c r="H23" s="100">
        <v>3.36</v>
      </c>
    </row>
    <row r="24" spans="2:8" ht="14.4" thickBot="1" x14ac:dyDescent="0.3">
      <c r="B24" s="321"/>
      <c r="C24" s="316"/>
      <c r="D24" s="163" t="s">
        <v>126</v>
      </c>
      <c r="E24" s="95">
        <f>E23/$E$6*100</f>
        <v>4.7006215039127565E-3</v>
      </c>
      <c r="F24" s="95">
        <f>F23/$F$6*100</f>
        <v>6.5743291874355032E-3</v>
      </c>
      <c r="G24" s="95">
        <f>G23/$G$6*100</f>
        <v>4.7006215039127565E-3</v>
      </c>
      <c r="H24" s="111">
        <f>H23/$H$6*100</f>
        <v>6.5743291874355032E-3</v>
      </c>
    </row>
    <row r="25" spans="2:8" ht="14.4" thickBot="1" x14ac:dyDescent="0.3">
      <c r="B25" s="313" t="s">
        <v>143</v>
      </c>
      <c r="C25" s="315" t="s">
        <v>144</v>
      </c>
      <c r="D25" s="163" t="s">
        <v>123</v>
      </c>
      <c r="E25" s="268">
        <v>0</v>
      </c>
      <c r="F25" s="100">
        <v>0</v>
      </c>
      <c r="G25" s="100">
        <v>0</v>
      </c>
      <c r="H25" s="100">
        <v>0</v>
      </c>
    </row>
    <row r="26" spans="2:8" ht="14.4" thickBot="1" x14ac:dyDescent="0.3">
      <c r="B26" s="321"/>
      <c r="C26" s="316"/>
      <c r="D26" s="163" t="s">
        <v>126</v>
      </c>
      <c r="E26" s="95">
        <f>E25/$E$6*100</f>
        <v>0</v>
      </c>
      <c r="F26" s="95">
        <f>F25/$F$6*100</f>
        <v>0</v>
      </c>
      <c r="G26" s="95">
        <f>G25/$G$6*100</f>
        <v>0</v>
      </c>
      <c r="H26" s="111">
        <f>H25/$H$6*100</f>
        <v>0</v>
      </c>
    </row>
    <row r="27" spans="2:8" ht="14.4" thickBot="1" x14ac:dyDescent="0.3">
      <c r="B27" s="313" t="s">
        <v>145</v>
      </c>
      <c r="C27" s="315" t="s">
        <v>146</v>
      </c>
      <c r="D27" s="163" t="s">
        <v>123</v>
      </c>
      <c r="E27" s="268">
        <v>0</v>
      </c>
      <c r="F27" s="100">
        <v>0</v>
      </c>
      <c r="G27" s="100">
        <v>0</v>
      </c>
      <c r="H27" s="100">
        <v>0</v>
      </c>
    </row>
    <row r="28" spans="2:8" ht="14.4" thickBot="1" x14ac:dyDescent="0.3">
      <c r="B28" s="321"/>
      <c r="C28" s="316"/>
      <c r="D28" s="163" t="s">
        <v>126</v>
      </c>
      <c r="E28" s="95">
        <f>E27/$E$6*100</f>
        <v>0</v>
      </c>
      <c r="F28" s="95">
        <f>F27/$F$6*100</f>
        <v>0</v>
      </c>
      <c r="G28" s="95">
        <f>G27/$G$6*100</f>
        <v>0</v>
      </c>
      <c r="H28" s="111">
        <f>H27/$H$6*100</f>
        <v>0</v>
      </c>
    </row>
    <row r="29" spans="2:8" ht="28.8" thickBot="1" x14ac:dyDescent="0.3">
      <c r="B29" s="215" t="s">
        <v>147</v>
      </c>
      <c r="C29" s="163" t="s">
        <v>148</v>
      </c>
      <c r="D29" s="163" t="s">
        <v>126</v>
      </c>
      <c r="E29" s="39">
        <v>0</v>
      </c>
      <c r="F29" s="39">
        <v>0</v>
      </c>
      <c r="G29" s="39">
        <f>E29</f>
        <v>0</v>
      </c>
      <c r="H29" s="39">
        <f>F29</f>
        <v>0</v>
      </c>
    </row>
    <row r="30" spans="2:8" ht="33" customHeight="1" thickBot="1" x14ac:dyDescent="0.3">
      <c r="B30" s="215" t="s">
        <v>149</v>
      </c>
      <c r="C30" s="163" t="s">
        <v>150</v>
      </c>
      <c r="D30" s="163" t="s">
        <v>126</v>
      </c>
      <c r="E30" s="268">
        <f>E8-'2. Macro'!L22-E24+E29</f>
        <v>-7.1330136358928682</v>
      </c>
      <c r="F30" s="100">
        <f>F8-'2. Macro'!M22-F24+F29</f>
        <v>-7.6667115804572541</v>
      </c>
      <c r="G30" s="270">
        <f>G8-'2. Macro'!L21-G24+G29</f>
        <v>-7.1997818549240735</v>
      </c>
      <c r="H30" s="270">
        <f>H8-'2. Macro'!M21-H24+H29</f>
        <v>-7.9219033322252521</v>
      </c>
    </row>
    <row r="31" spans="2:8" ht="28.8" thickBot="1" x14ac:dyDescent="0.3">
      <c r="B31" s="215" t="s">
        <v>151</v>
      </c>
      <c r="C31" s="163" t="s">
        <v>152</v>
      </c>
      <c r="D31" s="163" t="s">
        <v>126</v>
      </c>
      <c r="E31" s="19">
        <f>E10-'2. Macro'!L24-E26</f>
        <v>0.54509407048928316</v>
      </c>
      <c r="F31" s="19">
        <f>F10-'2. Macro'!M24-F26</f>
        <v>0.41399120581252846</v>
      </c>
      <c r="G31" s="19">
        <f>G10-'2. Macro'!L23-G26</f>
        <v>0.5303682477455588</v>
      </c>
      <c r="H31" s="19">
        <f>H10-'2. Macro'!M23-H26</f>
        <v>0.34773256507223427</v>
      </c>
    </row>
    <row r="32" spans="2:8" ht="28.8" thickBot="1" x14ac:dyDescent="0.3">
      <c r="B32" s="215" t="s">
        <v>153</v>
      </c>
      <c r="C32" s="163" t="s">
        <v>154</v>
      </c>
      <c r="D32" s="163" t="s">
        <v>126</v>
      </c>
      <c r="E32" s="19">
        <f>E12-'2. Macro'!L26-E28</f>
        <v>9.3099007888879495E-2</v>
      </c>
      <c r="F32" s="19">
        <f>F12-'2. Macro'!M26-F28</f>
        <v>0.14462907613914538</v>
      </c>
      <c r="G32" s="39">
        <f>E12-'2. Macro'!L25-G28</f>
        <v>8.6070774306647391E-2</v>
      </c>
      <c r="H32" s="39">
        <f>F12-'2. Macro'!M25-H28</f>
        <v>0.11300563396764132</v>
      </c>
    </row>
    <row r="33" spans="2:13" ht="28.8" thickBot="1" x14ac:dyDescent="0.3">
      <c r="B33" s="215" t="s">
        <v>155</v>
      </c>
      <c r="C33" s="216" t="s">
        <v>156</v>
      </c>
      <c r="D33" s="163" t="s">
        <v>126</v>
      </c>
      <c r="E33" s="112">
        <v>-1</v>
      </c>
      <c r="F33" s="112">
        <v>-1</v>
      </c>
      <c r="G33" s="112">
        <v>-1</v>
      </c>
      <c r="H33" s="266">
        <v>-1</v>
      </c>
    </row>
    <row r="34" spans="2:13" ht="28.8" thickBot="1" x14ac:dyDescent="0.3">
      <c r="B34" s="215" t="s">
        <v>157</v>
      </c>
      <c r="C34" s="216" t="s">
        <v>158</v>
      </c>
      <c r="D34" s="163" t="s">
        <v>126</v>
      </c>
      <c r="E34" s="112">
        <v>0</v>
      </c>
      <c r="F34" s="112">
        <v>0</v>
      </c>
      <c r="G34" s="112">
        <v>0</v>
      </c>
      <c r="H34" s="266">
        <v>0</v>
      </c>
    </row>
    <row r="35" spans="2:13" x14ac:dyDescent="0.25">
      <c r="C35" s="41"/>
      <c r="D35" s="41"/>
      <c r="E35" s="41"/>
      <c r="F35" s="41"/>
      <c r="G35" s="41"/>
      <c r="H35" s="41"/>
    </row>
    <row r="36" spans="2:13" ht="15" thickBot="1" x14ac:dyDescent="0.35">
      <c r="C36" s="10" t="s">
        <v>51</v>
      </c>
      <c r="D36" s="10"/>
      <c r="E36" s="199" t="s">
        <v>52</v>
      </c>
      <c r="F36" s="97"/>
      <c r="G36" s="97"/>
      <c r="H36" s="97"/>
    </row>
    <row r="37" spans="2:13" ht="15" thickBot="1" x14ac:dyDescent="0.35">
      <c r="B37" s="42"/>
      <c r="C37" s="43" t="s">
        <v>159</v>
      </c>
      <c r="D37" s="31"/>
      <c r="E37" s="200" t="s">
        <v>160</v>
      </c>
      <c r="F37" s="96"/>
      <c r="G37" s="96"/>
    </row>
    <row r="38" spans="2:13" ht="15" customHeight="1" thickBot="1" x14ac:dyDescent="0.35">
      <c r="B38" s="44"/>
      <c r="C38" s="10" t="s">
        <v>112</v>
      </c>
      <c r="D38" s="32"/>
      <c r="E38" s="323" t="s">
        <v>113</v>
      </c>
      <c r="F38" s="324"/>
      <c r="G38" s="324"/>
      <c r="H38" s="324"/>
      <c r="I38" s="324"/>
      <c r="J38" s="324"/>
      <c r="K38" s="324"/>
      <c r="L38" s="324"/>
      <c r="M38" s="324"/>
    </row>
    <row r="39" spans="2:13" ht="15" thickBot="1" x14ac:dyDescent="0.35">
      <c r="C39" s="10"/>
      <c r="E39" s="135"/>
    </row>
    <row r="40" spans="2:13" ht="14.4" thickBot="1" x14ac:dyDescent="0.3">
      <c r="C40" s="33" t="s">
        <v>116</v>
      </c>
      <c r="D40" s="34"/>
      <c r="E40" s="201" t="s">
        <v>117</v>
      </c>
      <c r="F40" s="98"/>
      <c r="G40" s="98"/>
    </row>
    <row r="41" spans="2:13" ht="14.4" customHeight="1" x14ac:dyDescent="0.25">
      <c r="C41" s="337"/>
      <c r="D41" s="337"/>
      <c r="E41" s="24"/>
      <c r="F41" s="24"/>
      <c r="G41" s="24"/>
      <c r="H41" s="24"/>
    </row>
    <row r="42" spans="2:13" x14ac:dyDescent="0.25">
      <c r="C42" s="337"/>
      <c r="D42" s="337"/>
      <c r="E42" s="24"/>
      <c r="F42" s="24"/>
      <c r="G42" s="24"/>
      <c r="H42" s="24"/>
    </row>
  </sheetData>
  <mergeCells count="31">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B3:C3"/>
    <mergeCell ref="B4:B5"/>
    <mergeCell ref="C4:C5"/>
    <mergeCell ref="D4:D5"/>
    <mergeCell ref="E38:M38"/>
    <mergeCell ref="E4:F4"/>
    <mergeCell ref="C27:C28"/>
    <mergeCell ref="B15:B16"/>
    <mergeCell ref="C15:C16"/>
    <mergeCell ref="B23:B24"/>
    <mergeCell ref="C23:C24"/>
    <mergeCell ref="B25:B26"/>
    <mergeCell ref="C25:C26"/>
    <mergeCell ref="B21:B22"/>
    <mergeCell ref="C21:C22"/>
    <mergeCell ref="B27:B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rgb="FF47ABD9"/>
  </sheetPr>
  <dimension ref="A1:L45"/>
  <sheetViews>
    <sheetView showGridLines="0" showRowColHeaders="0" zoomScaleNormal="100" workbookViewId="0">
      <selection activeCell="B1" sqref="B1:C1"/>
    </sheetView>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x14ac:dyDescent="0.25">
      <c r="A1" s="2"/>
      <c r="B1" s="357" t="s">
        <v>19</v>
      </c>
      <c r="C1" s="357"/>
      <c r="D1" s="2"/>
    </row>
    <row r="2" spans="1:12" ht="14.4" thickBot="1" x14ac:dyDescent="0.3">
      <c r="A2" s="12" t="s">
        <v>20</v>
      </c>
    </row>
    <row r="3" spans="1:12" ht="34.5" customHeight="1" thickTop="1" thickBot="1" x14ac:dyDescent="0.3">
      <c r="A3" s="13"/>
      <c r="B3" s="294" t="s">
        <v>161</v>
      </c>
      <c r="C3" s="358"/>
      <c r="D3" s="358"/>
      <c r="E3" s="358"/>
      <c r="F3" s="359"/>
    </row>
    <row r="4" spans="1:12" ht="41.25" customHeight="1" thickBot="1" x14ac:dyDescent="0.3">
      <c r="B4" s="105" t="s">
        <v>162</v>
      </c>
      <c r="C4" s="134" t="s">
        <v>163</v>
      </c>
      <c r="D4" s="134" t="s">
        <v>164</v>
      </c>
      <c r="E4" s="360" t="s">
        <v>165</v>
      </c>
      <c r="F4" s="361"/>
      <c r="J4" s="147"/>
      <c r="K4" s="147"/>
      <c r="L4" s="147"/>
    </row>
    <row r="5" spans="1:12" ht="33" customHeight="1" thickBot="1" x14ac:dyDescent="0.3">
      <c r="B5" s="362" t="s">
        <v>166</v>
      </c>
      <c r="C5" s="363"/>
      <c r="D5" s="364"/>
      <c r="E5" s="129" t="s">
        <v>24</v>
      </c>
      <c r="F5" s="130" t="s">
        <v>25</v>
      </c>
      <c r="J5" s="147"/>
      <c r="K5" s="147"/>
      <c r="L5" s="147"/>
    </row>
    <row r="6" spans="1:12" ht="14.25" customHeight="1" x14ac:dyDescent="0.25">
      <c r="B6" s="365"/>
      <c r="C6" s="148" t="s">
        <v>167</v>
      </c>
      <c r="D6" s="378"/>
      <c r="E6" s="370" t="str">
        <f>"Taip"</f>
        <v>Taip</v>
      </c>
      <c r="F6" s="371"/>
    </row>
    <row r="7" spans="1:12" ht="14.25" customHeight="1" thickBot="1" x14ac:dyDescent="0.35">
      <c r="B7" s="366"/>
      <c r="C7" s="149" t="s">
        <v>30</v>
      </c>
      <c r="D7" s="379"/>
      <c r="E7" s="376" t="str">
        <f>"Yes"</f>
        <v>Yes</v>
      </c>
      <c r="F7" s="377"/>
    </row>
    <row r="8" spans="1:12" ht="18" customHeight="1" x14ac:dyDescent="0.25">
      <c r="B8" s="343" t="s">
        <v>168</v>
      </c>
      <c r="C8" s="352" t="s">
        <v>169</v>
      </c>
      <c r="D8" s="330" t="s">
        <v>170</v>
      </c>
      <c r="E8" s="155" t="str">
        <f>IF(E28&gt;eps,"Tiesa","Netiesa")</f>
        <v>Netiesa</v>
      </c>
      <c r="F8" s="46" t="str">
        <f>IF(F28&gt;eps,"Tiesa","Netiesa")</f>
        <v>Netiesa</v>
      </c>
    </row>
    <row r="9" spans="1:12" ht="15.75" customHeight="1" x14ac:dyDescent="0.25">
      <c r="B9" s="344"/>
      <c r="C9" s="353"/>
      <c r="D9" s="354"/>
      <c r="E9" s="145" t="str">
        <f>CONCATENATE(FIXED(E28,1),IF(E28="Tiesa"," ≥ "," &lt; "),FIXED(0,1))</f>
        <v>-7,7 &lt; 0,0</v>
      </c>
      <c r="F9" s="146" t="str">
        <f>CONCATENATE(FIXED(F28,1),IF(F28="Tiesa"," ≥ "," &lt; "),FIXED(0,1))</f>
        <v>-7,9 &lt; 0,0</v>
      </c>
      <c r="H9" s="47"/>
    </row>
    <row r="10" spans="1:12" ht="15" thickBot="1" x14ac:dyDescent="0.3">
      <c r="B10" s="351"/>
      <c r="C10" s="150" t="s">
        <v>171</v>
      </c>
      <c r="D10" s="332"/>
      <c r="E10" s="136" t="str">
        <f>IF(E8="Tiesa","True","False")</f>
        <v>False</v>
      </c>
      <c r="F10" s="127" t="str">
        <f>IF(F8="Tiesa","True","False")</f>
        <v>False</v>
      </c>
      <c r="H10" s="47"/>
    </row>
    <row r="11" spans="1:12" ht="36" customHeight="1" x14ac:dyDescent="0.25">
      <c r="B11" s="343" t="s">
        <v>172</v>
      </c>
      <c r="C11" s="352" t="s">
        <v>173</v>
      </c>
      <c r="D11" s="330" t="s">
        <v>174</v>
      </c>
      <c r="E11" s="155" t="str">
        <f>IF((ABS(E28)+eps&lt;ABS($E$30))*(ABS(E28)&lt;ABS(E29))*(E31&gt;=-eps),"Tiesa","Netiesa")</f>
        <v>Netiesa</v>
      </c>
      <c r="F11" s="46" t="str">
        <f>IF((ABS(F28)+eps&lt;ABS($E$30))*(ABS(F28)&lt;ABS(F29))*(F31&gt;=-eps),"Tiesa","Netiesa")</f>
        <v>Netiesa</v>
      </c>
      <c r="I11" s="25"/>
    </row>
    <row r="12" spans="1:12" ht="43.5" customHeight="1" x14ac:dyDescent="0.25">
      <c r="B12" s="344"/>
      <c r="C12" s="353"/>
      <c r="D12" s="354"/>
      <c r="E12" s="89" t="str">
        <f>CONCATENATE(FIXED(ABS(E28),1),IF(ABS(E28)+eps&lt;ABS($E$30)," &lt; "," ≥ "),FIXED(ABS($E$30),1)," &amp;
",FIXED(ABS(E28),1),IF(ABS(E28)&lt;ABS(E29)," &lt; "," ≥ "),FIXED(ABS(E29),1)," &amp;
",FIXED(E31,1),IF(E31&lt;-eps," &lt; "," ≥ "),FIXED(0,1))</f>
        <v>7,7 ≥ 1,0 &amp;
7,7 ≥ 7,1 &amp;
-1,7 &lt; 0,0</v>
      </c>
      <c r="F12" s="144" t="str">
        <f>CONCATENATE(FIXED(ABS(F28),1),IF(ABS(F28)+eps&lt;ABS($E$30)," &lt; "," ≥ "),FIXED(ABS($E$30),1)," &amp;
",FIXED(ABS(F28),1),IF(ABS(F28)&lt;ABS(F29)," &lt; "," ≥ "),FIXED(ABS(F29),1)," &amp;
",FIXED(F31,1),IF(F31&lt;-eps," &lt; "," ≥ "),FIXED(0,1))</f>
        <v>7,9 ≥ 1,0 &amp;
7,9 ≥ 7,2 &amp;
-1,0 &lt; 0,0</v>
      </c>
      <c r="G12" s="48"/>
      <c r="H12" s="49"/>
      <c r="I12" s="25"/>
      <c r="J12" s="25"/>
    </row>
    <row r="13" spans="1:12" ht="45" customHeight="1" thickBot="1" x14ac:dyDescent="0.3">
      <c r="B13" s="351"/>
      <c r="C13" s="150" t="s">
        <v>175</v>
      </c>
      <c r="D13" s="332"/>
      <c r="E13" s="91" t="str">
        <f>IF(E11="Tiesa","True","False")</f>
        <v>False</v>
      </c>
      <c r="F13" s="137" t="str">
        <f>IF(F11="Tiesa","True","False")</f>
        <v>False</v>
      </c>
      <c r="G13" s="48"/>
      <c r="H13" s="49"/>
      <c r="I13" s="25"/>
      <c r="J13" s="25"/>
    </row>
    <row r="14" spans="1:12" ht="33.75" customHeight="1" x14ac:dyDescent="0.25">
      <c r="B14" s="343" t="s">
        <v>176</v>
      </c>
      <c r="C14" s="352" t="s">
        <v>177</v>
      </c>
      <c r="D14" s="330" t="s">
        <v>178</v>
      </c>
      <c r="E14" s="155" t="str">
        <f>IF((ABS(E28)+eps&lt;ABS($E$30))*(E31&lt;-eps),"Tiesa","Netiesa")</f>
        <v>Netiesa</v>
      </c>
      <c r="F14" s="46" t="str">
        <f>IF((ABS(F28)+eps&lt;ABS($E$30))*(F31&lt;-eps),"Tiesa","Netiesa")</f>
        <v>Netiesa</v>
      </c>
      <c r="I14" s="25"/>
      <c r="J14" s="25"/>
    </row>
    <row r="15" spans="1:12" ht="33" customHeight="1" x14ac:dyDescent="0.25">
      <c r="B15" s="344"/>
      <c r="C15" s="353"/>
      <c r="D15" s="354"/>
      <c r="E15" s="89" t="str">
        <f>CONCATENATE(FIXED(ABS(E28),1),IF(ABS(E28)+eps&lt;ABS($E$30)," &lt; "," ≥ "),FIXED(ABS($E$30),1)," &amp;
",FIXED(E31,1),IF(E31&lt;-eps," &lt; "," ≥ "),FIXED(0,1))</f>
        <v>7,7 ≥ 1,0 &amp;
-1,7 &lt; 0,0</v>
      </c>
      <c r="F15" s="144" t="str">
        <f>CONCATENATE(FIXED(ABS(F28),1),IF(ABS(F28)+eps&lt;ABS($E$30)," &lt; "," ≥ "),FIXED(ABS($E$30),1)," &amp;
",FIXED(F31,1),IF(F31&lt;-eps," &lt; "," ≥ "),FIXED(0,1))</f>
        <v>7,9 ≥ 1,0 &amp;
-1,0 &lt; 0,0</v>
      </c>
    </row>
    <row r="16" spans="1:12" ht="44.25" customHeight="1" thickBot="1" x14ac:dyDescent="0.3">
      <c r="B16" s="351"/>
      <c r="C16" s="150" t="s">
        <v>179</v>
      </c>
      <c r="D16" s="332"/>
      <c r="E16" s="91" t="str">
        <f>IF(E14="Tiesa","True","False")</f>
        <v>False</v>
      </c>
      <c r="F16" s="126" t="str">
        <f>IF(F14="Tiesa","True","False")</f>
        <v>False</v>
      </c>
    </row>
    <row r="17" spans="2:6" ht="34.5" customHeight="1" x14ac:dyDescent="0.25">
      <c r="B17" s="343" t="s">
        <v>180</v>
      </c>
      <c r="C17" s="346" t="s">
        <v>181</v>
      </c>
      <c r="D17" s="348" t="s">
        <v>182</v>
      </c>
      <c r="E17" s="155" t="str">
        <f>IF(($E$32&gt;0),IF((E28&gt;=E29+$E$32),"Tiesa","Netiesa"),"Netaikoma")</f>
        <v>Netaikoma</v>
      </c>
      <c r="F17" s="157" t="str">
        <f>IF(($E$32&gt;0),IF((E28&gt;=E29+$E$32),"Tiesa","Netiesa"),"Netaikoma")</f>
        <v>Netaikoma</v>
      </c>
    </row>
    <row r="18" spans="2:6" ht="15.75" customHeight="1" x14ac:dyDescent="0.25">
      <c r="B18" s="344"/>
      <c r="C18" s="347"/>
      <c r="D18" s="349"/>
      <c r="E18" s="156" t="str">
        <f>IF($E$32=0,"",CONCATENATE(FIXED(E28,1),IF(E28&gt;=E29+$E$32," ≥ "," &lt; "),FIXED(E29,1)," + ",FIXED($E$32,1)," = ",FIXED(E29+$E$32,1)))</f>
        <v/>
      </c>
      <c r="F18" s="144" t="str">
        <f>IF($E$32=0,"",CONCATENATE(FIXED(F28,1),IF(F28&gt;=F29+$E$32," ≥ "," &lt; "),FIXED(F29,1)," + ",FIXED($E$32,1)," = ",FIXED(F29+$E$32,1)))</f>
        <v/>
      </c>
    </row>
    <row r="19" spans="2:6" ht="47.25" customHeight="1" thickBot="1" x14ac:dyDescent="0.3">
      <c r="B19" s="351"/>
      <c r="C19" s="151" t="s">
        <v>183</v>
      </c>
      <c r="D19" s="350"/>
      <c r="E19" s="91" t="str">
        <f>IF(E17="Tiesa","True",IF(E17="Netaikoma","Not applicable","False"))</f>
        <v>Not applicable</v>
      </c>
      <c r="F19" s="126" t="str">
        <f>IF(F17="Tiesa","True",IF(F17="Netaikoma","Not applicable","False"))</f>
        <v>Not applicable</v>
      </c>
    </row>
    <row r="20" spans="2:6" x14ac:dyDescent="0.25">
      <c r="B20" s="343" t="s">
        <v>184</v>
      </c>
      <c r="C20" s="373" t="s">
        <v>185</v>
      </c>
      <c r="D20" s="348"/>
      <c r="E20" s="50" t="str">
        <f>IF(E6="Taip","Netaikoma", IF(OR(E8="Tiesa",E11="Tiesa",E14="Tiesa",E17="Tiesa"),"Taip","Ne"))</f>
        <v>Netaikoma</v>
      </c>
      <c r="F20" s="51" t="str">
        <f>IF(E6="Taip","Netaikoma", IF(OR(F8="Tiesa",F11="Tiesa",F14="Tiesa",F17="Tiesa"),"Taip","Ne"))</f>
        <v>Netaikoma</v>
      </c>
    </row>
    <row r="21" spans="2:6" ht="43.95" customHeight="1" x14ac:dyDescent="0.25">
      <c r="B21" s="344"/>
      <c r="C21" s="374"/>
      <c r="D21" s="349"/>
      <c r="E21" s="140"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02"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2:6" ht="21" customHeight="1" x14ac:dyDescent="0.25">
      <c r="B22" s="344"/>
      <c r="C22" s="355" t="s">
        <v>186</v>
      </c>
      <c r="D22" s="349"/>
      <c r="E22" s="141" t="str">
        <f>IF(E20="Taip","Yes",IF(E20="Netaikoma","Not applicable","False"))</f>
        <v>Not applicable</v>
      </c>
      <c r="F22" s="103" t="str">
        <f>IF(F20="Taip","Yes",IF(F20="Netaikoma","Not applicable","False"))</f>
        <v>Not applicable</v>
      </c>
    </row>
    <row r="23" spans="2:6" ht="28.5" customHeight="1" thickBot="1" x14ac:dyDescent="0.3">
      <c r="B23" s="345"/>
      <c r="C23" s="356"/>
      <c r="D23" s="375"/>
      <c r="E23" s="142"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43"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2:6" ht="15.75" customHeight="1" thickTop="1" x14ac:dyDescent="0.25">
      <c r="C24" s="367" t="s">
        <v>187</v>
      </c>
      <c r="D24" s="367"/>
      <c r="E24" s="367"/>
      <c r="F24" s="367"/>
    </row>
    <row r="25" spans="2:6" ht="15.75" customHeight="1" x14ac:dyDescent="0.25">
      <c r="C25" s="380" t="s">
        <v>188</v>
      </c>
      <c r="D25" s="380"/>
      <c r="E25" s="380"/>
      <c r="F25" s="380"/>
    </row>
    <row r="26" spans="2:6" ht="14.4" thickBot="1" x14ac:dyDescent="0.3">
      <c r="C26" s="53" t="s">
        <v>189</v>
      </c>
      <c r="D26" s="53"/>
      <c r="E26" s="13"/>
      <c r="F26" s="13"/>
    </row>
    <row r="27" spans="2:6" ht="14.4" thickBot="1" x14ac:dyDescent="0.3">
      <c r="C27" s="107" t="s">
        <v>190</v>
      </c>
      <c r="D27" s="54" t="s">
        <v>191</v>
      </c>
      <c r="E27" s="368">
        <v>2021</v>
      </c>
      <c r="F27" s="368"/>
    </row>
    <row r="28" spans="2:6" ht="14.4" thickBot="1" x14ac:dyDescent="0.3">
      <c r="D28" s="54" t="s">
        <v>192</v>
      </c>
      <c r="E28" s="56">
        <f>'3. GGbudget'!F30</f>
        <v>-7.6667115804572541</v>
      </c>
      <c r="F28" s="57">
        <f>'3. GGbudget'!H30</f>
        <v>-7.9219033322252521</v>
      </c>
    </row>
    <row r="29" spans="2:6" ht="14.4" thickBot="1" x14ac:dyDescent="0.3">
      <c r="D29" s="54" t="s">
        <v>193</v>
      </c>
      <c r="E29" s="56">
        <f>'3. GGbudget'!E30</f>
        <v>-7.1330136358928682</v>
      </c>
      <c r="F29" s="57">
        <f>'3. GGbudget'!G30</f>
        <v>-7.1997818549240735</v>
      </c>
    </row>
    <row r="30" spans="2:6" ht="14.4" thickBot="1" x14ac:dyDescent="0.3">
      <c r="D30" s="54" t="s">
        <v>194</v>
      </c>
      <c r="E30" s="369">
        <f>'3. GGbudget'!F33</f>
        <v>-1</v>
      </c>
      <c r="F30" s="369"/>
    </row>
    <row r="31" spans="2:6" ht="14.4" thickBot="1" x14ac:dyDescent="0.3">
      <c r="D31" s="54" t="s">
        <v>195</v>
      </c>
      <c r="E31" s="56">
        <f>'2. Macro'!M20</f>
        <v>-1.7117783230087058</v>
      </c>
      <c r="F31" s="57">
        <f>'2. Macro'!M19</f>
        <v>-0.95883922368718011</v>
      </c>
    </row>
    <row r="32" spans="2:6" ht="14.4" thickBot="1" x14ac:dyDescent="0.3">
      <c r="D32" s="54" t="s">
        <v>196</v>
      </c>
      <c r="E32" s="372">
        <f>'3. GGbudget'!F34</f>
        <v>0</v>
      </c>
      <c r="F32" s="372"/>
    </row>
    <row r="33" spans="3:9" ht="15" thickBot="1" x14ac:dyDescent="0.35">
      <c r="D33" s="10" t="s">
        <v>51</v>
      </c>
      <c r="G33" s="212" t="s">
        <v>52</v>
      </c>
    </row>
    <row r="34" spans="3:9" ht="15" thickBot="1" x14ac:dyDescent="0.35">
      <c r="C34" s="10"/>
      <c r="D34" s="10" t="s">
        <v>53</v>
      </c>
      <c r="E34" s="282" t="s">
        <v>24</v>
      </c>
      <c r="F34" s="283"/>
      <c r="G34" s="212" t="s">
        <v>54</v>
      </c>
    </row>
    <row r="35" spans="3:9" ht="15" thickBot="1" x14ac:dyDescent="0.35">
      <c r="C35" s="10"/>
      <c r="D35" s="10" t="s">
        <v>55</v>
      </c>
      <c r="E35" s="284" t="s">
        <v>25</v>
      </c>
      <c r="F35" s="285"/>
      <c r="G35" s="238" t="s">
        <v>56</v>
      </c>
    </row>
    <row r="36" spans="3:9" s="12" customFormat="1" ht="14.4" x14ac:dyDescent="0.3">
      <c r="C36" s="58" t="s">
        <v>197</v>
      </c>
      <c r="D36" s="59" t="s">
        <v>198</v>
      </c>
      <c r="E36" s="138">
        <f>J13*1</f>
        <v>0</v>
      </c>
      <c r="F36" s="60"/>
    </row>
    <row r="37" spans="3:9" s="12" customFormat="1" ht="14.4" x14ac:dyDescent="0.3">
      <c r="C37" s="58" t="s">
        <v>199</v>
      </c>
      <c r="D37" s="59" t="s">
        <v>200</v>
      </c>
      <c r="E37" s="138">
        <f>J15*1</f>
        <v>0</v>
      </c>
      <c r="F37" s="60"/>
    </row>
    <row r="38" spans="3:9" s="12" customFormat="1" ht="14.4" x14ac:dyDescent="0.3">
      <c r="C38" s="58" t="s">
        <v>201</v>
      </c>
      <c r="D38" s="59" t="s">
        <v>202</v>
      </c>
      <c r="E38" s="138">
        <f>J17*1</f>
        <v>0</v>
      </c>
      <c r="F38" s="60"/>
      <c r="G38" s="61"/>
    </row>
    <row r="39" spans="3:9" s="12" customFormat="1" ht="14.4" x14ac:dyDescent="0.3">
      <c r="C39" s="58" t="s">
        <v>203</v>
      </c>
      <c r="D39" s="59" t="s">
        <v>204</v>
      </c>
      <c r="E39" s="138">
        <f>J19*1</f>
        <v>0</v>
      </c>
      <c r="F39" s="60"/>
      <c r="G39" s="61"/>
    </row>
    <row r="40" spans="3:9" s="12" customFormat="1" ht="14.4" x14ac:dyDescent="0.3">
      <c r="E40" s="138">
        <f>SUM(E36:E39)</f>
        <v>0</v>
      </c>
      <c r="F40" s="60"/>
    </row>
    <row r="41" spans="3:9" ht="14.4" x14ac:dyDescent="0.3">
      <c r="C41" s="23"/>
      <c r="D41" s="23"/>
      <c r="E41" s="139"/>
      <c r="F41" s="23"/>
      <c r="G41" s="12"/>
      <c r="H41" s="12"/>
      <c r="I41" s="12"/>
    </row>
    <row r="42" spans="3:9" x14ac:dyDescent="0.25">
      <c r="C42" s="23"/>
      <c r="D42" s="23"/>
      <c r="E42" s="23"/>
      <c r="F42" s="23"/>
      <c r="G42" s="12"/>
      <c r="H42" s="12"/>
      <c r="I42" s="12"/>
    </row>
    <row r="43" spans="3:9" x14ac:dyDescent="0.25">
      <c r="C43" s="25"/>
      <c r="D43" s="23"/>
      <c r="E43" s="23"/>
      <c r="F43" s="23"/>
    </row>
    <row r="44" spans="3:9" x14ac:dyDescent="0.25">
      <c r="C44" s="25"/>
      <c r="D44" s="23"/>
      <c r="E44" s="23"/>
      <c r="F44" s="23"/>
    </row>
    <row r="45" spans="3:9" x14ac:dyDescent="0.25">
      <c r="C45" s="25"/>
      <c r="D45" s="25"/>
      <c r="E45" s="25"/>
      <c r="F45" s="25"/>
    </row>
  </sheetData>
  <mergeCells count="31">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 ref="B11:B13"/>
    <mergeCell ref="B1:C1"/>
    <mergeCell ref="B3:F3"/>
    <mergeCell ref="E4:F4"/>
    <mergeCell ref="C8:C9"/>
    <mergeCell ref="D8:D10"/>
    <mergeCell ref="B8:B10"/>
    <mergeCell ref="B5:D5"/>
    <mergeCell ref="B6:B7"/>
    <mergeCell ref="B20:B23"/>
    <mergeCell ref="C17:C18"/>
    <mergeCell ref="D17:D19"/>
    <mergeCell ref="B17:B19"/>
    <mergeCell ref="C14:C15"/>
    <mergeCell ref="D14:D16"/>
    <mergeCell ref="B14:B16"/>
    <mergeCell ref="C22:C23"/>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rgb="FF47ABD9"/>
  </sheetPr>
  <dimension ref="A1:J68"/>
  <sheetViews>
    <sheetView showGridLines="0" showRowColHeaders="0" zoomScaleNormal="100" workbookViewId="0">
      <selection activeCell="B1" sqref="B1:C1"/>
    </sheetView>
  </sheetViews>
  <sheetFormatPr defaultColWidth="10" defaultRowHeight="13.8" x14ac:dyDescent="0.25"/>
  <cols>
    <col min="1" max="1" width="3.6640625" style="1" customWidth="1"/>
    <col min="2" max="2" width="5.5546875" style="109" customWidth="1"/>
    <col min="3" max="3" width="100.6640625" style="1" customWidth="1"/>
    <col min="4" max="4" width="14.5546875" style="1" customWidth="1"/>
    <col min="5" max="5" width="21.44140625" style="1" customWidth="1"/>
    <col min="6" max="7" width="17" style="1" customWidth="1"/>
    <col min="8" max="8" width="8.5546875" style="1" customWidth="1"/>
    <col min="9" max="16384" width="10" style="1"/>
  </cols>
  <sheetData>
    <row r="1" spans="1:10" x14ac:dyDescent="0.25">
      <c r="A1" s="2"/>
      <c r="B1" s="357" t="s">
        <v>19</v>
      </c>
      <c r="C1" s="357"/>
    </row>
    <row r="2" spans="1:10" ht="14.4" thickBot="1" x14ac:dyDescent="0.3">
      <c r="A2" s="12" t="s">
        <v>20</v>
      </c>
    </row>
    <row r="3" spans="1:10" ht="39.75" customHeight="1" thickTop="1" thickBot="1" x14ac:dyDescent="0.3">
      <c r="B3" s="294" t="s">
        <v>205</v>
      </c>
      <c r="C3" s="358"/>
      <c r="D3" s="358"/>
      <c r="E3" s="358"/>
      <c r="F3" s="358"/>
      <c r="G3" s="359"/>
    </row>
    <row r="4" spans="1:10" ht="30" customHeight="1" thickBot="1" x14ac:dyDescent="0.3">
      <c r="B4" s="105" t="s">
        <v>206</v>
      </c>
      <c r="C4" s="106" t="s">
        <v>207</v>
      </c>
      <c r="D4" s="393" t="s">
        <v>164</v>
      </c>
      <c r="E4" s="394"/>
      <c r="F4" s="395" t="s">
        <v>165</v>
      </c>
      <c r="G4" s="396"/>
      <c r="H4" s="228"/>
    </row>
    <row r="5" spans="1:10" ht="33.75" customHeight="1" thickBot="1" x14ac:dyDescent="0.3">
      <c r="B5" s="362" t="s">
        <v>166</v>
      </c>
      <c r="C5" s="363"/>
      <c r="D5" s="363"/>
      <c r="E5" s="364"/>
      <c r="F5" s="129" t="s">
        <v>24</v>
      </c>
      <c r="G5" s="130" t="s">
        <v>25</v>
      </c>
      <c r="H5" s="5"/>
      <c r="I5" s="5"/>
      <c r="J5" s="5"/>
    </row>
    <row r="6" spans="1:10" ht="30" customHeight="1" x14ac:dyDescent="0.25">
      <c r="B6" s="403" t="s">
        <v>208</v>
      </c>
      <c r="C6" s="352" t="s">
        <v>209</v>
      </c>
      <c r="D6" s="397"/>
      <c r="E6" s="398"/>
      <c r="F6" s="101" t="str">
        <f>IF(F49+eps&lt;AVERAGE('2. Macro'!G32:K32)+2,"Tiesa","Netiesa")</f>
        <v>Tiesa</v>
      </c>
      <c r="G6" s="63" t="str">
        <f>IF(F49+eps&lt;AVERAGE('2. Macro'!G32:K32)+2,"Tiesa","Netiesa")</f>
        <v>Tiesa</v>
      </c>
      <c r="H6" s="5"/>
      <c r="I6" s="5"/>
      <c r="J6" s="5"/>
    </row>
    <row r="7" spans="1:10" ht="19.5" customHeight="1" x14ac:dyDescent="0.25">
      <c r="B7" s="404"/>
      <c r="C7" s="353"/>
      <c r="D7" s="399"/>
      <c r="E7" s="400"/>
      <c r="F7" s="101" t="str">
        <f>CONCATENATE(FIXED(F49,1),IF(F6="Tiesa"," &lt; "," ≥ "),FIXED(AVERAGE('2. Macro'!H32:L32)+2,1))</f>
        <v>-0,2 &lt; 3,8</v>
      </c>
      <c r="G7" s="123" t="str">
        <f>CONCATENATE(FIXED(G49,1),IF(G6="Tiesa"," &lt; "," ≥ "),FIXED(AVERAGE('2. Macro'!H32:L32)+2,1))</f>
        <v>-0,2 &lt; 3,8</v>
      </c>
      <c r="H7" s="5"/>
      <c r="I7" s="5"/>
      <c r="J7" s="5"/>
    </row>
    <row r="8" spans="1:10" ht="34.5" customHeight="1" thickBot="1" x14ac:dyDescent="0.3">
      <c r="B8" s="405"/>
      <c r="C8" s="150" t="s">
        <v>210</v>
      </c>
      <c r="D8" s="401"/>
      <c r="E8" s="402"/>
      <c r="F8" s="152" t="str">
        <f>IF(F6="Tiesa","True","False")</f>
        <v>True</v>
      </c>
      <c r="G8" s="116" t="str">
        <f>IF(G6="Tiesa","True","False")</f>
        <v>True</v>
      </c>
      <c r="H8" s="5"/>
      <c r="I8" s="5"/>
      <c r="J8" s="5"/>
    </row>
    <row r="9" spans="1:10" ht="30" customHeight="1" thickBot="1" x14ac:dyDescent="0.3">
      <c r="B9" s="406" t="s">
        <v>211</v>
      </c>
      <c r="C9" s="408" t="s">
        <v>212</v>
      </c>
      <c r="D9" s="318" t="s">
        <v>213</v>
      </c>
      <c r="E9" s="318"/>
      <c r="F9" s="62" t="str">
        <f>IF('3. GGbudget'!F8&gt;='3. GGbudget'!E8+1,"Tiesa","Netiesa")</f>
        <v>Netiesa</v>
      </c>
      <c r="G9" s="63" t="str">
        <f>IF('3. GGbudget'!H8&gt;='3. GGbudget'!G8+1,"Tiesa","Netiesa")</f>
        <v>Netiesa</v>
      </c>
    </row>
    <row r="10" spans="1:10" ht="15" customHeight="1" thickBot="1" x14ac:dyDescent="0.3">
      <c r="B10" s="406"/>
      <c r="C10" s="409"/>
      <c r="D10" s="318"/>
      <c r="E10" s="318"/>
      <c r="F10" s="101" t="str">
        <f>CONCATENATE(FIXED('3. GGbudget'!F8-'3. GGbudget'!E8,1),IF(F9="Tiesa"," ≥ "," &lt; "),FIXED(1,1))</f>
        <v>-1,0 &lt; 1,0</v>
      </c>
      <c r="G10" s="123" t="str">
        <f>CONCATENATE(FIXED('3. GGbudget'!H8-'3. GGbudget'!G8,1),IF(G9="Tiesa"," ≥ "," &lt; "),FIXED(1,1))</f>
        <v>-0,9 &lt; 1,0</v>
      </c>
    </row>
    <row r="11" spans="1:10" ht="30" customHeight="1" thickBot="1" x14ac:dyDescent="0.3">
      <c r="B11" s="406"/>
      <c r="C11" s="192" t="s">
        <v>214</v>
      </c>
      <c r="D11" s="318"/>
      <c r="E11" s="318"/>
      <c r="F11" s="136" t="str">
        <f>IF(F9="Tiesa","True","False")</f>
        <v>False</v>
      </c>
      <c r="G11" s="116" t="str">
        <f>IF(G9="Tiesa","True","False")</f>
        <v>False</v>
      </c>
    </row>
    <row r="12" spans="1:10" ht="27.75" customHeight="1" thickBot="1" x14ac:dyDescent="0.3">
      <c r="B12" s="406" t="s">
        <v>215</v>
      </c>
      <c r="C12" s="408" t="s">
        <v>216</v>
      </c>
      <c r="D12" s="407"/>
      <c r="E12" s="407"/>
      <c r="F12" s="64" t="str">
        <f>IF(ROUND(AVERAGE('2. Macro'!H36:L36),1)&gt;=0.1,"Tiesa","Netiesa")</f>
        <v>Netiesa</v>
      </c>
      <c r="G12" s="65" t="str">
        <f>IF(ROUND(AVERAGE('2. Macro'!H35:L35),1)&gt;=0.1,"Tiesa","Netiesa")</f>
        <v>Netiesa</v>
      </c>
    </row>
    <row r="13" spans="1:10" ht="15" customHeight="1" thickBot="1" x14ac:dyDescent="0.3">
      <c r="B13" s="406"/>
      <c r="C13" s="409"/>
      <c r="D13" s="407"/>
      <c r="E13" s="407"/>
      <c r="F13" s="132" t="str">
        <f>CONCATENATE(FIXED(AVERAGE('2. Macro'!H36:L36),1),IF(F12="Tiesa"," ≥ "," &lt; "),FIXED(0.1,1))</f>
        <v>-1,1 &lt; 0,1</v>
      </c>
      <c r="G13" s="133" t="str">
        <f>CONCATENATE(FIXED(AVERAGE('2. Macro'!H35:L35),1),IF(G12="Tiesa"," ≥ "," &lt; "),FIXED(0.1,1))</f>
        <v>-1,1 &lt; 0,1</v>
      </c>
    </row>
    <row r="14" spans="1:10" ht="29.4" thickBot="1" x14ac:dyDescent="0.3">
      <c r="B14" s="406"/>
      <c r="C14" s="192" t="s">
        <v>217</v>
      </c>
      <c r="D14" s="407"/>
      <c r="E14" s="407"/>
      <c r="F14" s="153" t="str">
        <f>IF(F12="Tiesa","True","False")</f>
        <v>False</v>
      </c>
      <c r="G14" s="154" t="str">
        <f>IF(G12="Tiesa","True","False")</f>
        <v>False</v>
      </c>
    </row>
    <row r="15" spans="1:10" ht="51.75" customHeight="1" x14ac:dyDescent="0.25">
      <c r="B15" s="403" t="s">
        <v>218</v>
      </c>
      <c r="C15" s="408" t="s">
        <v>219</v>
      </c>
      <c r="D15" s="397" t="s">
        <v>309</v>
      </c>
      <c r="E15" s="398"/>
      <c r="F15" s="62" t="str">
        <f>IF(ROUND(F56,1)&gt;=F55,"Tiesa","Netiesa")</f>
        <v>Netiesa</v>
      </c>
      <c r="G15" s="63" t="str">
        <f>IF(ROUND(G56,1)&gt;=G55,"Tiesa","Netiesa")</f>
        <v>Netiesa</v>
      </c>
      <c r="H15" s="97"/>
    </row>
    <row r="16" spans="1:10" ht="18.75" customHeight="1" x14ac:dyDescent="0.25">
      <c r="B16" s="404"/>
      <c r="C16" s="409"/>
      <c r="D16" s="399"/>
      <c r="E16" s="400"/>
      <c r="F16" s="132" t="str">
        <f>CONCATENATE(FIXED(F56,1),IF(F12="Tiesa"," ≥ "," &lt; "),FIXED(F55,1))</f>
        <v>-9,0 &lt; -8,7</v>
      </c>
      <c r="G16" s="123" t="str">
        <f>CONCATENATE(FIXED(G56,1),IF(G12="Tiesa"," ≥ "," &lt; "),FIXED(G55,1))</f>
        <v>-8,9 &lt; -8,7</v>
      </c>
    </row>
    <row r="17" spans="2:8" ht="51.75" customHeight="1" thickBot="1" x14ac:dyDescent="0.3">
      <c r="B17" s="405"/>
      <c r="C17" s="150" t="s">
        <v>220</v>
      </c>
      <c r="D17" s="401"/>
      <c r="E17" s="402"/>
      <c r="F17" s="136" t="str">
        <f>IF(F15="Tiesa","True","False")</f>
        <v>False</v>
      </c>
      <c r="G17" s="116" t="str">
        <f>IF(G15="Tiesa","True","False")</f>
        <v>False</v>
      </c>
    </row>
    <row r="18" spans="2:8" ht="44.25" customHeight="1" x14ac:dyDescent="0.25">
      <c r="B18" s="403" t="s">
        <v>221</v>
      </c>
      <c r="C18" s="408" t="s">
        <v>222</v>
      </c>
      <c r="D18" s="397" t="s">
        <v>223</v>
      </c>
      <c r="E18" s="398"/>
      <c r="F18" s="62" t="str">
        <f>IF(F50+eps&lt;0,"Tiesa","Netiesa")</f>
        <v>Tiesa</v>
      </c>
      <c r="G18" s="63" t="str">
        <f>IF(G50+eps&lt;0,"Tiesa","Netiesa")</f>
        <v>Tiesa</v>
      </c>
    </row>
    <row r="19" spans="2:8" ht="20.25" customHeight="1" x14ac:dyDescent="0.25">
      <c r="B19" s="404"/>
      <c r="C19" s="409"/>
      <c r="D19" s="399"/>
      <c r="E19" s="400"/>
      <c r="F19" s="132" t="str">
        <f>CONCATENATE(FIXED(F50,1),IF(F18="Tiesa"," &lt; "," ≥ "),FIXED(0,1))</f>
        <v>-1,7 &lt; 0,0</v>
      </c>
      <c r="G19" s="123" t="str">
        <f>CONCATENATE(FIXED(G50,1),IF(G18="Tiesa"," &lt; "," ≥ "),FIXED(0,1))</f>
        <v>-1,0 &lt; 0,0</v>
      </c>
    </row>
    <row r="20" spans="2:8" ht="48" customHeight="1" thickBot="1" x14ac:dyDescent="0.3">
      <c r="B20" s="405"/>
      <c r="C20" s="150" t="s">
        <v>224</v>
      </c>
      <c r="D20" s="401"/>
      <c r="E20" s="402"/>
      <c r="F20" s="136" t="str">
        <f>IF(F18="Tiesa","True","False")</f>
        <v>True</v>
      </c>
      <c r="G20" s="116" t="str">
        <f>IF(G18="Tiesa","True","False")</f>
        <v>True</v>
      </c>
    </row>
    <row r="21" spans="2:8" ht="21.75" customHeight="1" x14ac:dyDescent="0.25">
      <c r="B21" s="343" t="s">
        <v>225</v>
      </c>
      <c r="C21" s="373" t="s">
        <v>226</v>
      </c>
      <c r="D21" s="414"/>
      <c r="E21" s="415"/>
      <c r="F21" s="50" t="str">
        <f>+IF((OR(F6="Tiesa",F9="Tiesa",F12="Tiesa",F18="Tiesa")),"Taip","Ne")</f>
        <v>Taip</v>
      </c>
      <c r="G21" s="51" t="str">
        <f>+IF((OR(G6="Tiesa",G9="Tiesa",G12="Tiesa",G18="Tiesa")),"Taip","Ne")</f>
        <v>Taip</v>
      </c>
      <c r="H21" s="66"/>
    </row>
    <row r="22" spans="2:8" ht="39" customHeight="1" x14ac:dyDescent="0.25">
      <c r="B22" s="344"/>
      <c r="C22" s="374"/>
      <c r="D22" s="416"/>
      <c r="E22" s="417"/>
      <c r="F22" s="140" t="str">
        <f>IF(F21="Taip",CONCATENATE("Susidaro ", IF(F62=1,CONCATENATE(H62," "),""),IF(F63=1,CONCATENATE(H63," "),""),IF(F64=1,CONCATENATE(H64," "),""),IF(F65=1,CONCATENATE(H65," "),""),IF(F66=1,CONCATENATE(H66," "),""),IF(F67=1,"aplinkybė","aplinkybės")),"Išimčių nėra")</f>
        <v>Susidaro A1 A5 aplinkybės</v>
      </c>
      <c r="G22" s="102" t="str">
        <f>IF(G21="Taip",CONCATENATE("Susidaro ", IF(G62=1,CONCATENATE(I62," "),""),IF(G63=1,CONCATENATE(I63," "),""),IF(G64=1,CONCATENATE(I64," "),""),IF(G65=1,CONCATENATE(I65," "),""),IF(G66=1,CONCATENATE(I66," "),""),IF(G67=1,"aplinkybė","aplinkybės")),"Išimčių nėra")</f>
        <v>Susidaro A1 A5 aplinkybės</v>
      </c>
    </row>
    <row r="23" spans="2:8" ht="18" customHeight="1" x14ac:dyDescent="0.25">
      <c r="B23" s="344"/>
      <c r="C23" s="355" t="s">
        <v>227</v>
      </c>
      <c r="D23" s="416"/>
      <c r="E23" s="417"/>
      <c r="F23" s="164" t="str">
        <f>IF(F21="Taip","Yes","No")</f>
        <v>Yes</v>
      </c>
      <c r="G23" s="165" t="str">
        <f>IF(G21="Taip","Yes","No")</f>
        <v>Yes</v>
      </c>
    </row>
    <row r="24" spans="2:8" ht="55.5" customHeight="1" thickBot="1" x14ac:dyDescent="0.3">
      <c r="B24" s="351"/>
      <c r="C24" s="420"/>
      <c r="D24" s="418"/>
      <c r="E24" s="419"/>
      <c r="F24" s="124" t="str">
        <f>IF(F23="Yes",CONCATENATE(IF(F67=1,"Escape clause ","Escape clauses "), IF(F62=1,CONCATENATE(H62," "),""),IF(F63=1,CONCATENATE(H63," "),""),IF(F64=1,CONCATENATE(H64," "),""),IF(F65=1,CONCATENATE(H65," "),""),IF(F66=1,CONCATENATE(H66," "),""),"emerge"),"No escape clauses emerge")</f>
        <v>Escape clauses A1 A5 emerge</v>
      </c>
      <c r="G24" s="103" t="str">
        <f>IF(G23="Yes",CONCATENATE(IF(G67=1,"Escape clause ","Escape clauses "), IF(G62=1,CONCATENATE(I62," "),""),IF(G63=1,CONCATENATE(I63," "),""),IF(G64=1,CONCATENATE(I64," "),""),IF(G65=1,CONCATENATE(I65," "),""),IF(G66=1,CONCATENATE(I66," "),""),"emerge"),"No escape clauses emerge")</f>
        <v>Escape clauses A1 A5 emerge</v>
      </c>
    </row>
    <row r="25" spans="2:8" ht="33.75" customHeight="1" thickBot="1" x14ac:dyDescent="0.35">
      <c r="B25" s="128" t="s">
        <v>206</v>
      </c>
      <c r="C25" s="223" t="s">
        <v>228</v>
      </c>
      <c r="D25" s="412" t="s">
        <v>229</v>
      </c>
      <c r="E25" s="413"/>
      <c r="F25" s="410" t="s">
        <v>165</v>
      </c>
      <c r="G25" s="411"/>
      <c r="H25" s="69"/>
    </row>
    <row r="26" spans="2:8" ht="17.399999999999999" customHeight="1" x14ac:dyDescent="0.25">
      <c r="B26" s="343" t="s">
        <v>230</v>
      </c>
      <c r="C26" s="408" t="s">
        <v>231</v>
      </c>
      <c r="D26" s="183"/>
      <c r="E26" s="184"/>
      <c r="F26" s="67" t="str">
        <f>IF((F21="Taip"),"",IF(AVERAGE('2. Macro'!F36:J36)+eps&lt;0,"Tiesa","Netiesa"))</f>
        <v/>
      </c>
      <c r="G26" s="68" t="str">
        <f>IF((F21="Taip"),"",IF(AVERAGE('2. Macro'!F35:J35)+eps&lt;0,"Tiesa","Netiesa"))</f>
        <v/>
      </c>
    </row>
    <row r="27" spans="2:8" ht="15.75" customHeight="1" x14ac:dyDescent="0.25">
      <c r="B27" s="344"/>
      <c r="C27" s="409"/>
      <c r="D27" s="185" t="s">
        <v>232</v>
      </c>
      <c r="E27" s="186"/>
      <c r="F27" s="156" t="str">
        <f>IF((F21="Taip"),"",CONCATENATE(FIXED(AVERAGE('2. Macro'!F36:J36),1),IF(F26="Tiesa"," &lt; "," ≥ "),FIXED(0,1)))</f>
        <v/>
      </c>
      <c r="G27" s="162" t="str">
        <f>IF((G21="Taip"),"",CONCATENATE(FIXED(AVERAGE('2. Macro'!F35:J35),1),IF(G26="Tiesa"," &lt; "," ≥ "),FIXED(0,1)))</f>
        <v/>
      </c>
    </row>
    <row r="28" spans="2:8" ht="18" customHeight="1" thickBot="1" x14ac:dyDescent="0.3">
      <c r="B28" s="344"/>
      <c r="C28" s="409"/>
      <c r="D28" s="187"/>
      <c r="E28" s="188"/>
      <c r="F28" s="182" t="str">
        <f>IF(F23="Yes","",IF(F26="Tiesa","True","False"))</f>
        <v/>
      </c>
      <c r="G28" s="127" t="str">
        <f>IF(G23="Yes","",IF(G26="Tiesa","True","False"))</f>
        <v/>
      </c>
    </row>
    <row r="29" spans="2:8" ht="24" customHeight="1" x14ac:dyDescent="0.25">
      <c r="B29" s="344"/>
      <c r="C29" s="409"/>
      <c r="D29" s="189"/>
      <c r="E29" s="186"/>
      <c r="F29" s="203" t="str">
        <f>IF(OR(F21="Taip",F26="Netiesa"),"Netaikoma", IF(F37-$F$39&lt;=(F38-$F$40)*(1+0.5*F54),"Tiesa","Netiesa"))</f>
        <v>Netaikoma</v>
      </c>
      <c r="G29" s="162" t="str">
        <f>IF(OR(G21="Taip",G26="Netiesa"),"Netaikoma", IF(G37-$F$39&lt;=(G38-$F$40)*(1+0.5*G54),"Tiesa","Netiesa"))</f>
        <v>Netaikoma</v>
      </c>
    </row>
    <row r="30" spans="2:8" ht="69" customHeight="1" x14ac:dyDescent="0.25">
      <c r="B30" s="344"/>
      <c r="C30" s="409"/>
      <c r="D30" s="189"/>
      <c r="E30" s="186"/>
      <c r="F30" s="156" t="str">
        <f>IF(F21="Taip",IF(F67=1,"Susidarė viena iš KĮ numatytų netaikymo aplinkybių","Susidarė KĮ numatytos netaikymo aplinkybės"),CONCATENATE(ROUND(($G$37-F39)/($G$38-F40),3),IF(F29="Tiesa"," ≤ "," &gt; "), ROUND(1+0.5*F54,3)))</f>
        <v>Susidarė KĮ numatytos netaikymo aplinkybės</v>
      </c>
      <c r="G30" s="202" t="str">
        <f>IF(G21="Taip",IF(G67=1,"Susidarė viena iš KĮ numatytų netaikymo aplinkybių","Susidarė KĮ numatytos netaikymo aplinkybės"),CONCATENATE(ROUND(($G$37-G39)/($G$38-G40),3),IF(G29="Tiesa"," ≤ "," &gt; "), ROUND(1+0.5*G54,3)))</f>
        <v>Susidarė KĮ numatytos netaikymo aplinkybės</v>
      </c>
    </row>
    <row r="31" spans="2:8" ht="21" customHeight="1" x14ac:dyDescent="0.25">
      <c r="B31" s="344"/>
      <c r="C31" s="421" t="s">
        <v>233</v>
      </c>
      <c r="D31" s="189"/>
      <c r="E31" s="186"/>
      <c r="F31" s="158" t="str">
        <f>IF(F29="Netaikoma","Not applied",IF(F29="Tiesa","True","False"))</f>
        <v>Not applied</v>
      </c>
      <c r="G31" s="181" t="str">
        <f>IF(G29="Netaikoma","Not applied",IF(G29="Tiesa","True","False"))</f>
        <v>Not applied</v>
      </c>
    </row>
    <row r="32" spans="2:8" ht="70.5" customHeight="1" thickBot="1" x14ac:dyDescent="0.3">
      <c r="B32" s="351"/>
      <c r="C32" s="422"/>
      <c r="D32" s="187"/>
      <c r="E32" s="188"/>
      <c r="F32" s="190" t="str">
        <f>IF(F23="Yes",IF(F67=1,"CL escape clause emerged","CL escape clauses emerged"),"")</f>
        <v>CL escape clauses emerged</v>
      </c>
      <c r="G32" s="191" t="str">
        <f>IF(G23="Yes",IF(G67=1,"CL escape clause emerged","CL escape clauses emerged"),"")</f>
        <v>CL escape clauses emerged</v>
      </c>
    </row>
    <row r="33" spans="3:8" ht="28.5" customHeight="1" thickTop="1" x14ac:dyDescent="0.25">
      <c r="C33" s="392" t="s">
        <v>234</v>
      </c>
      <c r="D33" s="392"/>
      <c r="E33" s="392"/>
      <c r="F33" s="114"/>
      <c r="G33" s="114"/>
    </row>
    <row r="34" spans="3:8" ht="28.5" customHeight="1" x14ac:dyDescent="0.25">
      <c r="C34" s="380" t="s">
        <v>303</v>
      </c>
      <c r="D34" s="380"/>
      <c r="E34" s="380"/>
      <c r="F34" s="229"/>
      <c r="G34" s="229"/>
    </row>
    <row r="35" spans="3:8" ht="18.75" customHeight="1" thickBot="1" x14ac:dyDescent="0.3">
      <c r="C35" s="53" t="s">
        <v>235</v>
      </c>
      <c r="D35" s="230"/>
      <c r="E35" s="230"/>
      <c r="F35" s="229"/>
      <c r="G35" s="229"/>
    </row>
    <row r="36" spans="3:8" ht="15" customHeight="1" thickBot="1" x14ac:dyDescent="0.3">
      <c r="C36" s="107" t="s">
        <v>236</v>
      </c>
      <c r="D36" s="115"/>
      <c r="E36" s="97"/>
      <c r="F36" s="368">
        <v>2021</v>
      </c>
      <c r="G36" s="368"/>
    </row>
    <row r="37" spans="3:8" ht="14.4" thickBot="1" x14ac:dyDescent="0.3">
      <c r="C37" s="107"/>
      <c r="D37" s="113"/>
      <c r="E37" s="54" t="s">
        <v>237</v>
      </c>
      <c r="F37" s="70"/>
      <c r="G37" s="71">
        <f>'3. GGbudget'!H21</f>
        <v>17782.692999999999</v>
      </c>
    </row>
    <row r="38" spans="3:8" ht="15" customHeight="1" thickBot="1" x14ac:dyDescent="0.3">
      <c r="C38" s="113"/>
      <c r="D38" s="113"/>
      <c r="E38" s="54" t="s">
        <v>238</v>
      </c>
      <c r="F38" s="70"/>
      <c r="G38" s="71">
        <f>'3. GGbudget'!G21</f>
        <v>17687.256699999998</v>
      </c>
    </row>
    <row r="39" spans="3:8" ht="14.4" thickBot="1" x14ac:dyDescent="0.3">
      <c r="C39" s="113"/>
      <c r="D39" s="113"/>
      <c r="E39" s="54" t="s">
        <v>239</v>
      </c>
      <c r="F39" s="391">
        <f>3180.333</f>
        <v>3180.3330000000001</v>
      </c>
      <c r="G39" s="391"/>
      <c r="H39" s="110"/>
    </row>
    <row r="40" spans="3:8" ht="14.4" thickBot="1" x14ac:dyDescent="0.3">
      <c r="C40" s="113"/>
      <c r="D40" s="113"/>
      <c r="E40" s="54" t="s">
        <v>240</v>
      </c>
      <c r="F40" s="391">
        <v>1940.222</v>
      </c>
      <c r="G40" s="391"/>
      <c r="H40" s="110"/>
    </row>
    <row r="41" spans="3:8" ht="14.4" thickBot="1" x14ac:dyDescent="0.3">
      <c r="C41" s="53"/>
      <c r="D41" s="55"/>
      <c r="E41" s="54" t="s">
        <v>241</v>
      </c>
      <c r="F41" s="70">
        <f>'3. GGbudget'!F15</f>
        <v>22860</v>
      </c>
      <c r="G41" s="71">
        <f>'3. GGbudget'!H15</f>
        <v>22909.995277853199</v>
      </c>
      <c r="H41" s="110"/>
    </row>
    <row r="42" spans="3:8" ht="14.4" thickBot="1" x14ac:dyDescent="0.3">
      <c r="C42" s="53"/>
      <c r="D42" s="55"/>
      <c r="E42" s="54" t="s">
        <v>242</v>
      </c>
      <c r="F42" s="70">
        <f>'3. GGbudget'!E15</f>
        <v>21212.777999999998</v>
      </c>
      <c r="G42" s="71">
        <f>'3. GGbudget'!G15</f>
        <v>21212.777999999998</v>
      </c>
      <c r="H42" s="110"/>
    </row>
    <row r="43" spans="3:8" ht="14.4" thickBot="1" x14ac:dyDescent="0.3">
      <c r="C43" s="53"/>
      <c r="D43" s="55"/>
      <c r="E43" s="54" t="s">
        <v>243</v>
      </c>
      <c r="F43" s="222">
        <f>'2. Macro'!L36-'2. Macro'!K36</f>
        <v>-7.8133654347630408</v>
      </c>
      <c r="G43" s="73">
        <f>'2. Macro'!L35-'2. Macro'!K35</f>
        <v>-7.8133654347630408</v>
      </c>
    </row>
    <row r="44" spans="3:8" ht="14.4" thickBot="1" x14ac:dyDescent="0.3">
      <c r="C44" s="72"/>
      <c r="D44" s="55"/>
      <c r="E44" s="54" t="s">
        <v>244</v>
      </c>
      <c r="F44" s="222">
        <f>('2. Macro'!L36-'2. Macro'!K36)-('2. Macro'!K36-'2. Macro'!J36)</f>
        <v>-7.6508308298814427</v>
      </c>
      <c r="G44" s="73">
        <f>('2. Macro'!L35-'2. Macro'!K35)-('2. Macro'!K35-'2. Macro'!J35)</f>
        <v>-7.6508308298814427</v>
      </c>
    </row>
    <row r="45" spans="3:8" ht="14.4" thickBot="1" x14ac:dyDescent="0.3">
      <c r="C45" s="74" t="s">
        <v>308</v>
      </c>
      <c r="D45" s="55"/>
      <c r="E45" s="74" t="s">
        <v>245</v>
      </c>
      <c r="F45" s="387">
        <v>1.0178394174383401</v>
      </c>
      <c r="G45" s="388"/>
    </row>
    <row r="46" spans="3:8" ht="15" customHeight="1" thickBot="1" x14ac:dyDescent="0.3">
      <c r="C46" s="74" t="s">
        <v>307</v>
      </c>
      <c r="D46" s="55"/>
      <c r="E46" s="74" t="s">
        <v>246</v>
      </c>
      <c r="F46" s="387">
        <v>1.0141355272699499</v>
      </c>
      <c r="G46" s="388"/>
    </row>
    <row r="47" spans="3:8" ht="15" customHeight="1" thickBot="1" x14ac:dyDescent="0.3">
      <c r="C47" s="74" t="s">
        <v>306</v>
      </c>
      <c r="D47" s="55"/>
      <c r="E47" s="74" t="s">
        <v>247</v>
      </c>
      <c r="F47" s="389">
        <v>1.024</v>
      </c>
      <c r="G47" s="390"/>
    </row>
    <row r="48" spans="3:8" ht="15" customHeight="1" thickBot="1" x14ac:dyDescent="0.3">
      <c r="C48" s="74" t="s">
        <v>305</v>
      </c>
      <c r="D48" s="55"/>
      <c r="E48" s="74" t="s">
        <v>248</v>
      </c>
      <c r="F48" s="389">
        <v>1.02</v>
      </c>
      <c r="G48" s="390"/>
    </row>
    <row r="49" spans="2:9" ht="15" customHeight="1" thickBot="1" x14ac:dyDescent="0.3">
      <c r="C49" s="75" t="s">
        <v>304</v>
      </c>
      <c r="D49" s="55"/>
      <c r="E49" s="74" t="s">
        <v>249</v>
      </c>
      <c r="F49" s="222">
        <v>-0.15665474249518299</v>
      </c>
      <c r="G49" s="73">
        <v>-0.15665474249518299</v>
      </c>
    </row>
    <row r="50" spans="2:9" ht="15" customHeight="1" thickBot="1" x14ac:dyDescent="0.3">
      <c r="D50" s="55"/>
      <c r="E50" s="54" t="s">
        <v>250</v>
      </c>
      <c r="F50" s="222">
        <f>'2. Macro'!M20</f>
        <v>-1.7117783230087058</v>
      </c>
      <c r="G50" s="73">
        <f>'2. Macro'!M19</f>
        <v>-0.95883922368718011</v>
      </c>
    </row>
    <row r="51" spans="2:9" ht="15" customHeight="1" thickBot="1" x14ac:dyDescent="0.3">
      <c r="D51" s="54"/>
      <c r="E51" s="54" t="s">
        <v>251</v>
      </c>
      <c r="F51" s="76"/>
      <c r="G51" s="76">
        <f>+G37-F39</f>
        <v>14602.359999999999</v>
      </c>
    </row>
    <row r="52" spans="2:9" ht="15" customHeight="1" thickBot="1" x14ac:dyDescent="0.3">
      <c r="D52" s="54"/>
      <c r="E52" s="54" t="s">
        <v>252</v>
      </c>
      <c r="F52" s="77"/>
      <c r="G52" s="78">
        <f>+G38-F40</f>
        <v>15747.034699999998</v>
      </c>
    </row>
    <row r="53" spans="2:9" ht="15" customHeight="1" thickBot="1" x14ac:dyDescent="0.3">
      <c r="D53" s="54"/>
      <c r="E53" s="54" t="s">
        <v>253</v>
      </c>
      <c r="F53" s="76"/>
      <c r="G53" s="79">
        <f>+(G51/G52-1)*100</f>
        <v>-7.2691444567655639</v>
      </c>
    </row>
    <row r="54" spans="2:9" s="12" customFormat="1" ht="16.8" thickBot="1" x14ac:dyDescent="0.4">
      <c r="B54" s="109"/>
      <c r="C54" s="1"/>
      <c r="D54" s="54"/>
      <c r="E54" s="54" t="s">
        <v>254</v>
      </c>
      <c r="F54" s="131">
        <f>(POWER('2. Macro'!O16/'2. Macro'!F16,0.1)*POWER(PRODUCT(F45:F48),0.25)-1)</f>
        <v>4.7012364354531044E-2</v>
      </c>
      <c r="G54" s="76">
        <f>(POWER('2. Macro'!O15/'2. Macro'!F15,0.1)*POWER(PRODUCT(F45:F48),0.25)-1)</f>
        <v>4.53785964255915E-2</v>
      </c>
    </row>
    <row r="55" spans="2:9" s="12" customFormat="1" ht="14.4" thickBot="1" x14ac:dyDescent="0.3">
      <c r="B55" s="109"/>
      <c r="C55" s="1"/>
      <c r="D55" s="54"/>
      <c r="E55" s="54" t="s">
        <v>310</v>
      </c>
      <c r="F55" s="131">
        <f>-4453.071/'3. GGbudget'!F6*100</f>
        <v>-8.7130817407805381</v>
      </c>
      <c r="G55" s="76">
        <f>-4453.071/'3. GGbudget'!H6*100</f>
        <v>-8.7130817407805381</v>
      </c>
    </row>
    <row r="56" spans="2:9" s="12" customFormat="1" ht="14.4" thickBot="1" x14ac:dyDescent="0.3">
      <c r="B56" s="109"/>
      <c r="C56" s="1"/>
      <c r="D56" s="54"/>
      <c r="E56" s="54" t="s">
        <v>311</v>
      </c>
      <c r="F56" s="131">
        <f>-4576.974/'3. GGbudget'!F6*100</f>
        <v>-8.9555159995039961</v>
      </c>
      <c r="G56" s="76">
        <f>-4556.541/'3. GGbudget'!H6*100</f>
        <v>-8.9155358601329038</v>
      </c>
    </row>
    <row r="57" spans="2:9" s="12" customFormat="1" x14ac:dyDescent="0.25">
      <c r="B57" s="109"/>
      <c r="C57" s="1"/>
      <c r="D57" s="54"/>
      <c r="E57" s="54"/>
      <c r="F57" s="83"/>
      <c r="G57" s="83"/>
    </row>
    <row r="58" spans="2:9" s="12" customFormat="1" ht="15" thickBot="1" x14ac:dyDescent="0.35">
      <c r="B58" s="109"/>
      <c r="C58" s="1"/>
      <c r="D58" s="10"/>
      <c r="E58" s="10" t="s">
        <v>51</v>
      </c>
      <c r="F58" s="10"/>
      <c r="G58" s="5"/>
      <c r="H58" s="212" t="s">
        <v>52</v>
      </c>
    </row>
    <row r="59" spans="2:9" s="12" customFormat="1" ht="15" thickBot="1" x14ac:dyDescent="0.35">
      <c r="B59" s="109"/>
      <c r="C59" s="1"/>
      <c r="D59" s="10"/>
      <c r="E59" s="10" t="s">
        <v>53</v>
      </c>
      <c r="F59" s="381" t="s">
        <v>24</v>
      </c>
      <c r="G59" s="382"/>
      <c r="H59" s="212" t="s">
        <v>54</v>
      </c>
    </row>
    <row r="60" spans="2:9" s="12" customFormat="1" ht="15" thickBot="1" x14ac:dyDescent="0.35">
      <c r="B60" s="109"/>
      <c r="C60" s="1"/>
      <c r="D60" s="10"/>
      <c r="E60" s="10" t="s">
        <v>55</v>
      </c>
      <c r="F60" s="383" t="s">
        <v>25</v>
      </c>
      <c r="G60" s="384"/>
      <c r="H60" s="238" t="s">
        <v>56</v>
      </c>
    </row>
    <row r="61" spans="2:9" s="12" customFormat="1" ht="15" thickBot="1" x14ac:dyDescent="0.35">
      <c r="B61" s="109"/>
      <c r="C61" s="1"/>
      <c r="D61" s="10"/>
      <c r="E61" s="10" t="s">
        <v>255</v>
      </c>
      <c r="F61" s="385" t="s">
        <v>256</v>
      </c>
      <c r="G61" s="386"/>
      <c r="H61" s="212" t="s">
        <v>257</v>
      </c>
    </row>
    <row r="62" spans="2:9" s="12" customFormat="1" x14ac:dyDescent="0.25">
      <c r="B62" s="61"/>
      <c r="D62" s="231" t="s">
        <v>258</v>
      </c>
      <c r="E62" s="231"/>
      <c r="F62" s="232">
        <f>IF(F6="Tiesa",1,0)</f>
        <v>1</v>
      </c>
      <c r="G62" s="232">
        <f>IF(G6="Tiesa",1,0)</f>
        <v>1</v>
      </c>
      <c r="H62" s="231" t="str">
        <f>IF(F62=1,$D62,"")</f>
        <v>A1</v>
      </c>
      <c r="I62" s="231" t="str">
        <f>IF(G62=1,$D62,"")</f>
        <v>A1</v>
      </c>
    </row>
    <row r="63" spans="2:9" x14ac:dyDescent="0.25">
      <c r="B63" s="61"/>
      <c r="C63" s="12"/>
      <c r="D63" s="231" t="s">
        <v>259</v>
      </c>
      <c r="E63" s="231"/>
      <c r="F63" s="232">
        <f>IF(F9="Tiesa",1,0)</f>
        <v>0</v>
      </c>
      <c r="G63" s="232">
        <f>IF(G9="Tiesa",1,0)</f>
        <v>0</v>
      </c>
      <c r="H63" s="231" t="str">
        <f t="shared" ref="H63:I66" si="0">IF(F63=1,$D63,"")</f>
        <v/>
      </c>
      <c r="I63" s="231" t="str">
        <f t="shared" si="0"/>
        <v/>
      </c>
    </row>
    <row r="64" spans="2:9" x14ac:dyDescent="0.25">
      <c r="C64" s="23"/>
      <c r="D64" s="231" t="s">
        <v>260</v>
      </c>
      <c r="E64" s="231"/>
      <c r="F64" s="232">
        <f>IF(F12="Tiesa",1,0)</f>
        <v>0</v>
      </c>
      <c r="G64" s="232">
        <f>IF(G12="Tiesa",1,0)</f>
        <v>0</v>
      </c>
      <c r="H64" s="231" t="str">
        <f>IF(F64=1,$D64,"")</f>
        <v/>
      </c>
      <c r="I64" s="231" t="str">
        <f t="shared" si="0"/>
        <v/>
      </c>
    </row>
    <row r="65" spans="4:9" x14ac:dyDescent="0.25">
      <c r="D65" s="231" t="s">
        <v>261</v>
      </c>
      <c r="E65" s="231"/>
      <c r="F65" s="232">
        <f>IF(F15="Tiesa",1,0)</f>
        <v>0</v>
      </c>
      <c r="G65" s="232">
        <f>IF(G15="Tiesa",1,0)</f>
        <v>0</v>
      </c>
      <c r="H65" s="231" t="str">
        <f t="shared" si="0"/>
        <v/>
      </c>
      <c r="I65" s="231" t="str">
        <f t="shared" si="0"/>
        <v/>
      </c>
    </row>
    <row r="66" spans="4:9" x14ac:dyDescent="0.25">
      <c r="D66" s="231" t="s">
        <v>262</v>
      </c>
      <c r="E66" s="231"/>
      <c r="F66" s="232">
        <f>IF(F18="Tiesa",1,0)</f>
        <v>1</v>
      </c>
      <c r="G66" s="232">
        <f>IF(G18="Tiesa",1,0)</f>
        <v>1</v>
      </c>
      <c r="H66" s="231" t="str">
        <f t="shared" si="0"/>
        <v>A5</v>
      </c>
      <c r="I66" s="231" t="str">
        <f>IF(G66=1,$D66,"")</f>
        <v>A5</v>
      </c>
    </row>
    <row r="67" spans="4:9" x14ac:dyDescent="0.25">
      <c r="D67" s="180"/>
      <c r="E67" s="180"/>
      <c r="F67" s="232">
        <f>SUM(F62:F66)</f>
        <v>2</v>
      </c>
      <c r="G67" s="232">
        <f>SUM(G62:G66)</f>
        <v>2</v>
      </c>
      <c r="H67" s="180"/>
      <c r="I67" s="180"/>
    </row>
    <row r="68" spans="4:9" x14ac:dyDescent="0.25">
      <c r="D68" s="180"/>
      <c r="E68" s="180"/>
      <c r="F68" s="180"/>
      <c r="G68" s="180"/>
      <c r="H68" s="180"/>
      <c r="I68" s="180"/>
    </row>
  </sheetData>
  <mergeCells count="41">
    <mergeCell ref="B15:B17"/>
    <mergeCell ref="D15:E17"/>
    <mergeCell ref="C18:C19"/>
    <mergeCell ref="D18:E20"/>
    <mergeCell ref="B18:B20"/>
    <mergeCell ref="C15:C16"/>
    <mergeCell ref="F25:G25"/>
    <mergeCell ref="D25:E25"/>
    <mergeCell ref="C26:C30"/>
    <mergeCell ref="B21:B24"/>
    <mergeCell ref="D21:E24"/>
    <mergeCell ref="C21:C22"/>
    <mergeCell ref="C23:C24"/>
    <mergeCell ref="B26:B32"/>
    <mergeCell ref="C31:C32"/>
    <mergeCell ref="C34:E34"/>
    <mergeCell ref="C6:C7"/>
    <mergeCell ref="C33:E33"/>
    <mergeCell ref="B1:C1"/>
    <mergeCell ref="B3:G3"/>
    <mergeCell ref="D4:E4"/>
    <mergeCell ref="F4:G4"/>
    <mergeCell ref="D6:E8"/>
    <mergeCell ref="B6:B8"/>
    <mergeCell ref="B9:B11"/>
    <mergeCell ref="D9:E11"/>
    <mergeCell ref="B12:B14"/>
    <mergeCell ref="D12:E14"/>
    <mergeCell ref="C9:C10"/>
    <mergeCell ref="C12:C13"/>
    <mergeCell ref="B5:E5"/>
    <mergeCell ref="F59:G59"/>
    <mergeCell ref="F60:G60"/>
    <mergeCell ref="F61:G61"/>
    <mergeCell ref="F36:G36"/>
    <mergeCell ref="F46:G46"/>
    <mergeCell ref="F47:G47"/>
    <mergeCell ref="F48:G48"/>
    <mergeCell ref="F45:G45"/>
    <mergeCell ref="F39:G39"/>
    <mergeCell ref="F40:G40"/>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G12:G13</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G7:G8</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F12:F13</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F7:F8</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F20:G20 G19</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G6</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F15</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F16</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G15</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G16:G17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rgb="FF47ABD9"/>
  </sheetPr>
  <dimension ref="A1:H38"/>
  <sheetViews>
    <sheetView showGridLines="0" showRowColHeaders="0" zoomScaleNormal="100" workbookViewId="0">
      <selection activeCell="B1" sqref="B1:C1"/>
    </sheetView>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357" t="s">
        <v>19</v>
      </c>
      <c r="C1" s="357"/>
      <c r="D1" s="2"/>
    </row>
    <row r="2" spans="1:8" ht="14.4" thickBot="1" x14ac:dyDescent="0.3">
      <c r="A2" s="12" t="s">
        <v>20</v>
      </c>
    </row>
    <row r="3" spans="1:8" ht="38.25" customHeight="1" thickTop="1" thickBot="1" x14ac:dyDescent="0.3">
      <c r="B3" s="294" t="s">
        <v>263</v>
      </c>
      <c r="C3" s="358"/>
      <c r="D3" s="358"/>
      <c r="E3" s="358"/>
      <c r="F3" s="359"/>
    </row>
    <row r="4" spans="1:8" ht="28.8" thickBot="1" x14ac:dyDescent="0.35">
      <c r="B4" s="105" t="s">
        <v>206</v>
      </c>
      <c r="C4" s="223" t="s">
        <v>228</v>
      </c>
      <c r="D4" s="223" t="s">
        <v>164</v>
      </c>
      <c r="E4" s="410" t="s">
        <v>165</v>
      </c>
      <c r="F4" s="411"/>
    </row>
    <row r="5" spans="1:8" ht="30" customHeight="1" thickBot="1" x14ac:dyDescent="0.3">
      <c r="B5" s="362" t="s">
        <v>166</v>
      </c>
      <c r="C5" s="363"/>
      <c r="D5" s="364"/>
      <c r="E5" s="129" t="s">
        <v>24</v>
      </c>
      <c r="F5" s="130" t="s">
        <v>25</v>
      </c>
    </row>
    <row r="6" spans="1:8" ht="104.25" customHeight="1" x14ac:dyDescent="0.25">
      <c r="B6" s="219" t="s">
        <v>264</v>
      </c>
      <c r="C6" s="193" t="s">
        <v>265</v>
      </c>
      <c r="D6" s="435" t="s">
        <v>266</v>
      </c>
      <c r="E6" s="155" t="s">
        <v>312</v>
      </c>
      <c r="F6" s="157" t="s">
        <v>312</v>
      </c>
    </row>
    <row r="7" spans="1:8" ht="61.5" customHeight="1" thickBot="1" x14ac:dyDescent="0.3">
      <c r="B7" s="220"/>
      <c r="C7" s="194" t="s">
        <v>267</v>
      </c>
      <c r="D7" s="437"/>
      <c r="E7" s="91" t="s">
        <v>313</v>
      </c>
      <c r="F7" s="126" t="s">
        <v>313</v>
      </c>
      <c r="H7" s="45"/>
    </row>
    <row r="8" spans="1:8" ht="34.5" customHeight="1" thickBot="1" x14ac:dyDescent="0.3">
      <c r="B8" s="221"/>
      <c r="C8" s="438" t="s">
        <v>268</v>
      </c>
      <c r="D8" s="439"/>
      <c r="E8" s="80"/>
      <c r="F8" s="125"/>
    </row>
    <row r="9" spans="1:8" ht="29.25" customHeight="1" x14ac:dyDescent="0.25">
      <c r="B9" s="343" t="s">
        <v>269</v>
      </c>
      <c r="C9" s="427" t="s">
        <v>294</v>
      </c>
      <c r="D9" s="435" t="s">
        <v>270</v>
      </c>
      <c r="E9" s="62" t="str">
        <f>IF(E32&gt;=0,"Tiesa","Netiesa")</f>
        <v>Tiesa</v>
      </c>
      <c r="F9" s="63" t="str">
        <f>IF(F32&gt;=0,"Tiesa","Netiesa")</f>
        <v>Tiesa</v>
      </c>
    </row>
    <row r="10" spans="1:8" ht="29.25" customHeight="1" x14ac:dyDescent="0.25">
      <c r="B10" s="344"/>
      <c r="C10" s="428"/>
      <c r="D10" s="436"/>
      <c r="E10" s="156" t="str">
        <f>CONCATENATE(FIXED(E32,1),IF(E32&gt;= 0," ≥ "," &lt; "),FIXED(0,1))</f>
        <v>0,1 ≥ 0,0</v>
      </c>
      <c r="F10" s="104" t="str">
        <f>CONCATENATE(FIXED(F32,1),IF(F32&gt;= 0," ≥ "," &lt; "),FIXED(0,1))</f>
        <v>0,1 ≥ 0,0</v>
      </c>
    </row>
    <row r="11" spans="1:8" ht="35.25" customHeight="1" thickBot="1" x14ac:dyDescent="0.3">
      <c r="B11" s="344"/>
      <c r="C11" s="195" t="s">
        <v>271</v>
      </c>
      <c r="D11" s="437"/>
      <c r="E11" s="91" t="str">
        <f>IF(E9="Tiesa","True","False")</f>
        <v>True</v>
      </c>
      <c r="F11" s="116" t="str">
        <f>IF(F9="Tiesa","True","False")</f>
        <v>True</v>
      </c>
    </row>
    <row r="12" spans="1:8" ht="21.75" customHeight="1" x14ac:dyDescent="0.25">
      <c r="B12" s="344"/>
      <c r="C12" s="440" t="s">
        <v>272</v>
      </c>
      <c r="D12" s="440"/>
      <c r="E12" s="118" t="str">
        <f>IF(E9="Netiesa","Netenkinama","Tenkinama")</f>
        <v>Tenkinama</v>
      </c>
      <c r="F12" s="119" t="str">
        <f>IF(F9="Netiesa","Netenkinama","Tenkinama")</f>
        <v>Tenkinama</v>
      </c>
    </row>
    <row r="13" spans="1:8" ht="21.75" customHeight="1" thickBot="1" x14ac:dyDescent="0.3">
      <c r="B13" s="351"/>
      <c r="C13" s="420" t="s">
        <v>273</v>
      </c>
      <c r="D13" s="420"/>
      <c r="E13" s="117" t="str">
        <f>IF(E12="Tenkinama","Valid","Invalid ")</f>
        <v>Valid</v>
      </c>
      <c r="F13" s="120" t="str">
        <f>IF(F12="Tenkinama","Valid","Invalid ")</f>
        <v>Valid</v>
      </c>
    </row>
    <row r="14" spans="1:8" ht="17.399999999999999" customHeight="1" x14ac:dyDescent="0.25">
      <c r="B14" s="343" t="s">
        <v>274</v>
      </c>
      <c r="C14" s="408" t="s">
        <v>275</v>
      </c>
      <c r="D14" s="429" t="s">
        <v>276</v>
      </c>
      <c r="E14" s="62" t="str">
        <f>IF(E29+eps&lt;0, "Tiesa","Netiesa")</f>
        <v>Tiesa</v>
      </c>
      <c r="F14" s="63" t="str">
        <f>IF(E29+eps&lt;0,"Tiesa","Netiesa")</f>
        <v>Tiesa</v>
      </c>
    </row>
    <row r="15" spans="1:8" ht="38.25" customHeight="1" x14ac:dyDescent="0.25">
      <c r="B15" s="344"/>
      <c r="C15" s="409"/>
      <c r="D15" s="430"/>
      <c r="E15" s="101" t="str">
        <f>CONCATENATE(FIXED(E29,1),IF(E29+eps&lt;0," &lt; "," ≥ "),FIXED(0,1))</f>
        <v>-1,7 &lt; 0,0</v>
      </c>
      <c r="F15" s="123" t="str">
        <f>CONCATENATE(FIXED(F29,1),IF(F29+eps&lt;0," &lt; "," ≥ "),FIXED(0,1))</f>
        <v>-1,0 &lt; 0,0</v>
      </c>
    </row>
    <row r="16" spans="1:8" ht="21" customHeight="1" thickBot="1" x14ac:dyDescent="0.3">
      <c r="B16" s="344"/>
      <c r="C16" s="409"/>
      <c r="D16" s="430"/>
      <c r="E16" s="91" t="str">
        <f>IF(E14="Tiesa","True","False")</f>
        <v>True</v>
      </c>
      <c r="F16" s="127" t="str">
        <f>IF(F14="Tiesa","True","False")</f>
        <v>True</v>
      </c>
    </row>
    <row r="17" spans="2:8" ht="18.75" customHeight="1" x14ac:dyDescent="0.25">
      <c r="B17" s="344"/>
      <c r="C17" s="421" t="s">
        <v>277</v>
      </c>
      <c r="D17" s="430" t="s">
        <v>278</v>
      </c>
      <c r="E17" s="64" t="str">
        <f>IF(OR((E29&gt;=0)*(E30&gt;=0),(E29&gt;=0)*(E30&gt;=E31)),"Tiesa","Netiesa")</f>
        <v>Netiesa</v>
      </c>
      <c r="F17" s="63" t="str">
        <f>IF(OR((F29&gt;=0)*(F30&gt;=0),(F29&gt;=0)*(F30&gt;=F31)),"Tiesa","Netiesa")</f>
        <v>Netiesa</v>
      </c>
    </row>
    <row r="18" spans="2:8" ht="47.25" customHeight="1" x14ac:dyDescent="0.25">
      <c r="B18" s="344"/>
      <c r="C18" s="421"/>
      <c r="D18" s="430"/>
      <c r="E18" s="156" t="str">
        <f>CONCATENATE(FIXED(E29,1),,IF(E29&lt;0," &lt; "," ≥ "),FIXED(0,1), " &amp;
","(",
 FIXED(E30,1),IF(E30&gt;=E31," ≥ "," &lt; "), FIXED(E31,1), " arba / or ",FIXED(E30,1),IF(E30&lt;0," &lt; "," ≥ "),FIXED(0,1),")")</f>
        <v>-1,7 &lt; 0,0 &amp;
(0,4 &lt; 0,5 arba / or 0,4 ≥ 0,0)</v>
      </c>
      <c r="F18" s="123" t="str">
        <f>CONCATENATE(FIXED(F29,1),,IF(F29&lt;0," &lt; "," ≥ "),FIXED(0,1), " &amp;
","(", FIXED(F30,1),IF(F30&gt;=F31," ≥ "," &lt; "), FIXED(F31,1), " arba / or ",FIXED(F30,1),IF(F30&lt;0," &lt; "," ≥ "),FIXED(0,1),")")</f>
        <v>-1,0 &lt; 0,0 &amp;
(0,3 &lt; 0,5 arba / or 0,3 ≥ 0,0)</v>
      </c>
    </row>
    <row r="19" spans="2:8" ht="18" customHeight="1" thickBot="1" x14ac:dyDescent="0.3">
      <c r="B19" s="344"/>
      <c r="C19" s="422"/>
      <c r="D19" s="431"/>
      <c r="E19" s="91" t="str">
        <f>IF(E17="Tiesa","True","False")</f>
        <v>False</v>
      </c>
      <c r="F19" s="126" t="str">
        <f>IF(F17="Tiesa","True","False")</f>
        <v>False</v>
      </c>
    </row>
    <row r="20" spans="2:8" ht="21" customHeight="1" x14ac:dyDescent="0.25">
      <c r="B20" s="344"/>
      <c r="C20" s="440" t="s">
        <v>279</v>
      </c>
      <c r="D20" s="440"/>
      <c r="E20" s="121" t="str">
        <f>IF(OR(E14="Tiesa",E17="Tiesa"),"Tenkinama","Netenkinama")</f>
        <v>Tenkinama</v>
      </c>
      <c r="F20" s="119" t="str">
        <f>IF(OR(F14="Tiesa",F17="Tiesa"),"Tenkinama","Netenkinama")</f>
        <v>Tenkinama</v>
      </c>
    </row>
    <row r="21" spans="2:8" ht="21" customHeight="1" thickBot="1" x14ac:dyDescent="0.3">
      <c r="B21" s="351"/>
      <c r="C21" s="420" t="s">
        <v>280</v>
      </c>
      <c r="D21" s="420"/>
      <c r="E21" s="124" t="str">
        <f>IF(E20="Tenkinama","Valid","Invalid ")</f>
        <v>Valid</v>
      </c>
      <c r="F21" s="120" t="str">
        <f>IF(F20="Tenkinama","Valid","Invalid ")</f>
        <v>Valid</v>
      </c>
    </row>
    <row r="22" spans="2:8" ht="101.25" customHeight="1" thickBot="1" x14ac:dyDescent="0.3">
      <c r="B22" s="423" t="s">
        <v>281</v>
      </c>
      <c r="C22" s="193" t="s">
        <v>282</v>
      </c>
      <c r="D22" s="224" t="s">
        <v>283</v>
      </c>
      <c r="E22" s="155" t="s">
        <v>312</v>
      </c>
      <c r="F22" s="157" t="s">
        <v>312</v>
      </c>
    </row>
    <row r="23" spans="2:8" ht="64.5" customHeight="1" thickBot="1" x14ac:dyDescent="0.3">
      <c r="B23" s="423"/>
      <c r="C23" s="433" t="s">
        <v>284</v>
      </c>
      <c r="D23" s="430" t="s">
        <v>285</v>
      </c>
      <c r="E23" s="442" t="str">
        <f>E7</f>
        <v>Will be assessed in June 2021</v>
      </c>
      <c r="F23" s="441" t="str">
        <f>F7</f>
        <v>Will be assessed in June 2021</v>
      </c>
    </row>
    <row r="24" spans="2:8" ht="42" customHeight="1" thickBot="1" x14ac:dyDescent="0.3">
      <c r="B24" s="423"/>
      <c r="C24" s="434"/>
      <c r="D24" s="431"/>
      <c r="E24" s="442"/>
      <c r="F24" s="441"/>
    </row>
    <row r="25" spans="2:8" ht="19.5" customHeight="1" thickBot="1" x14ac:dyDescent="0.3">
      <c r="B25" s="343"/>
      <c r="C25" s="373" t="s">
        <v>49</v>
      </c>
      <c r="D25" s="432"/>
      <c r="E25" s="121"/>
      <c r="F25" s="157"/>
    </row>
    <row r="26" spans="2:8" ht="19.5" customHeight="1" thickBot="1" x14ac:dyDescent="0.3">
      <c r="B26" s="424"/>
      <c r="C26" s="425" t="s">
        <v>50</v>
      </c>
      <c r="D26" s="426"/>
      <c r="E26" s="52"/>
      <c r="F26" s="122"/>
    </row>
    <row r="27" spans="2:8" ht="15" thickTop="1" thickBot="1" x14ac:dyDescent="0.3">
      <c r="C27" s="53" t="s">
        <v>286</v>
      </c>
      <c r="D27" s="29"/>
      <c r="E27" s="29"/>
      <c r="F27" s="29"/>
      <c r="H27" s="54"/>
    </row>
    <row r="28" spans="2:8" ht="14.4" thickBot="1" x14ac:dyDescent="0.3">
      <c r="C28" s="107" t="s">
        <v>287</v>
      </c>
      <c r="D28" s="54" t="s">
        <v>191</v>
      </c>
      <c r="E28" s="368">
        <v>2021</v>
      </c>
      <c r="F28" s="368"/>
      <c r="H28" s="54"/>
    </row>
    <row r="29" spans="2:8" ht="14.4" thickBot="1" x14ac:dyDescent="0.3">
      <c r="D29" s="54" t="s">
        <v>195</v>
      </c>
      <c r="E29" s="81">
        <f>'2. Macro'!M20</f>
        <v>-1.7117783230087058</v>
      </c>
      <c r="F29" s="82">
        <f>'2. Macro'!M19</f>
        <v>-0.95883922368718011</v>
      </c>
      <c r="H29" s="54"/>
    </row>
    <row r="30" spans="2:8" ht="16.8" thickBot="1" x14ac:dyDescent="0.4">
      <c r="D30" s="54" t="s">
        <v>288</v>
      </c>
      <c r="E30" s="81">
        <f>'3. GGbudget'!F31</f>
        <v>0.41399120581252846</v>
      </c>
      <c r="F30" s="82">
        <f>'3. GGbudget'!H31</f>
        <v>0.34773256507223427</v>
      </c>
      <c r="H30" s="54"/>
    </row>
    <row r="31" spans="2:8" ht="16.8" thickBot="1" x14ac:dyDescent="0.4">
      <c r="D31" s="54" t="s">
        <v>289</v>
      </c>
      <c r="E31" s="81">
        <f>'3. GGbudget'!E31</f>
        <v>0.54509407048928316</v>
      </c>
      <c r="F31" s="82">
        <f>'3. GGbudget'!G31</f>
        <v>0.5303682477455588</v>
      </c>
      <c r="G31" s="26"/>
      <c r="H31" s="54"/>
    </row>
    <row r="32" spans="2:8" ht="16.8" thickBot="1" x14ac:dyDescent="0.4">
      <c r="D32" s="54" t="s">
        <v>290</v>
      </c>
      <c r="E32" s="81">
        <f>'3. GGbudget'!F32</f>
        <v>0.14462907613914538</v>
      </c>
      <c r="F32" s="82">
        <f>'3. GGbudget'!H32</f>
        <v>0.11300563396764132</v>
      </c>
      <c r="H32" s="10"/>
    </row>
    <row r="33" spans="4:8" ht="15" thickBot="1" x14ac:dyDescent="0.35">
      <c r="D33" s="10" t="s">
        <v>51</v>
      </c>
      <c r="E33" s="10"/>
      <c r="F33" s="5"/>
      <c r="G33" s="135" t="s">
        <v>291</v>
      </c>
      <c r="H33" s="10"/>
    </row>
    <row r="34" spans="4:8" ht="15" thickBot="1" x14ac:dyDescent="0.35">
      <c r="D34" s="10" t="s">
        <v>53</v>
      </c>
      <c r="E34" s="381" t="s">
        <v>24</v>
      </c>
      <c r="F34" s="382"/>
      <c r="G34" s="135" t="s">
        <v>54</v>
      </c>
      <c r="H34" s="10"/>
    </row>
    <row r="35" spans="4:8" ht="15" thickBot="1" x14ac:dyDescent="0.35">
      <c r="D35" s="10" t="s">
        <v>55</v>
      </c>
      <c r="E35" s="383" t="s">
        <v>25</v>
      </c>
      <c r="F35" s="384"/>
      <c r="G35" s="238" t="s">
        <v>56</v>
      </c>
    </row>
    <row r="36" spans="4:8" x14ac:dyDescent="0.25">
      <c r="E36" s="54"/>
    </row>
    <row r="37" spans="4:8" x14ac:dyDescent="0.25">
      <c r="E37" s="54"/>
      <c r="F37" s="109"/>
    </row>
    <row r="38" spans="4:8" x14ac:dyDescent="0.25">
      <c r="E38" s="54"/>
      <c r="F38" s="109"/>
    </row>
  </sheetData>
  <mergeCells count="28">
    <mergeCell ref="D6:D7"/>
    <mergeCell ref="B1:C1"/>
    <mergeCell ref="B3:F3"/>
    <mergeCell ref="E4:F4"/>
    <mergeCell ref="B5:D5"/>
    <mergeCell ref="E35:F35"/>
    <mergeCell ref="D9:D11"/>
    <mergeCell ref="C8:D8"/>
    <mergeCell ref="C12:D12"/>
    <mergeCell ref="C20:D20"/>
    <mergeCell ref="E34:F34"/>
    <mergeCell ref="E28:F28"/>
    <mergeCell ref="F23:F24"/>
    <mergeCell ref="E23:E24"/>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2" ma:contentTypeDescription="Kurkite naują dokumentą." ma:contentTypeScope="" ma:versionID="118a0949ad199c24ccd2f7283af59048">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aefc51aa35de58ebe8a33920224b63e7"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B1A46E-0A44-4A30-8762-3FDA068AB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2EF8B-66EA-4F82-A307-9453EED8E315}">
  <ds:schemaRefs>
    <ds:schemaRef ds:uri="http://purl.org/dc/terms/"/>
    <ds:schemaRef ds:uri="363434dc-334b-484b-8d90-bc56983ccdf2"/>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7e17b0e5-9e2a-4168-a5e3-4f8007a277e5"/>
    <ds:schemaRef ds:uri="http://schemas.microsoft.com/office/infopath/2007/PartnerControls"/>
    <ds:schemaRef ds:uri="http://www.w3.org/XML/1998/namespace"/>
    <ds:schemaRef ds:uri="http://purl.org/dc/dcmitype/"/>
    <ds:schemaRef ds:uri="c102cb31-f5d5-4956-a0cb-1590ba369788"/>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2021-05-28T08:33:33Z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_SourceUrl">
    <vt:lpwstr/>
  </property>
  <property fmtid="{D5CDD505-2E9C-101B-9397-08002B2CF9AE}" pid="6" name="_SharedFileIndex">
    <vt:lpwstr/>
  </property>
</Properties>
</file>