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Šios_darbaknygės"/>
  <mc:AlternateContent xmlns:mc="http://schemas.openxmlformats.org/markup-compatibility/2006">
    <mc:Choice Requires="x15">
      <x15ac:absPath xmlns:x15ac="http://schemas.microsoft.com/office/spreadsheetml/2010/11/ac" url="C:\Users\vbindoriute\Desktop\Viešinti\"/>
    </mc:Choice>
  </mc:AlternateContent>
  <xr:revisionPtr revIDLastSave="0" documentId="13_ncr:1_{2FE9DD0A-B0ED-4592-AE09-2F73B0F2AF54}" xr6:coauthVersionLast="36" xr6:coauthVersionMax="47" xr10:uidLastSave="{00000000-0000-0000-0000-000000000000}"/>
  <bookViews>
    <workbookView xWindow="0" yWindow="0" windowWidth="20496" windowHeight="634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4" l="1"/>
  <c r="F21" i="4"/>
  <c r="F36" i="6" l="1"/>
  <c r="F51" i="6" s="1"/>
  <c r="M36" i="3" l="1"/>
  <c r="I17" i="3" l="1"/>
  <c r="F17" i="3"/>
  <c r="E19" i="3"/>
  <c r="E20" i="3"/>
  <c r="F19" i="3"/>
  <c r="E27" i="3"/>
  <c r="E28" i="3"/>
  <c r="F13" i="3"/>
  <c r="F14" i="3"/>
  <c r="M13" i="3"/>
  <c r="E22" i="3" l="1"/>
  <c r="E24" i="3"/>
  <c r="E21" i="3"/>
  <c r="E23" i="3"/>
  <c r="M28" i="3"/>
  <c r="M19" i="3"/>
  <c r="M21" i="3" s="1"/>
  <c r="M17" i="3"/>
  <c r="G10" i="3"/>
  <c r="H10" i="3"/>
  <c r="I10" i="3"/>
  <c r="J10" i="3"/>
  <c r="K10" i="3"/>
  <c r="L10" i="3"/>
  <c r="M10" i="3"/>
  <c r="G9" i="3"/>
  <c r="H9" i="3"/>
  <c r="I9" i="3"/>
  <c r="J9" i="3"/>
  <c r="K9" i="3"/>
  <c r="L9" i="3"/>
  <c r="M9" i="3"/>
  <c r="E7" i="5" l="1"/>
  <c r="C12" i="2" s="1"/>
  <c r="E6" i="5"/>
  <c r="C11" i="2" s="1"/>
  <c r="D26" i="3"/>
  <c r="D39" i="3" s="1"/>
  <c r="F54" i="6" l="1"/>
  <c r="L20" i="3" l="1"/>
  <c r="F63" i="6" l="1"/>
  <c r="F7" i="4" l="1"/>
  <c r="L26" i="3" l="1"/>
  <c r="F40" i="6" l="1"/>
  <c r="D26" i="2" l="1"/>
  <c r="D25" i="2"/>
  <c r="C26" i="2"/>
  <c r="C25" i="2"/>
  <c r="D32" i="2"/>
  <c r="D31" i="2"/>
  <c r="C32" i="2"/>
  <c r="C31" i="2"/>
  <c r="H63" i="6" l="1"/>
  <c r="G16" i="6" l="1"/>
  <c r="G15" i="6"/>
  <c r="G63" i="6" s="1"/>
  <c r="I63" i="6" s="1"/>
  <c r="E21" i="5" l="1"/>
  <c r="F23" i="5"/>
  <c r="E23" i="5"/>
  <c r="F21" i="5"/>
  <c r="F20" i="5"/>
  <c r="E20" i="5"/>
  <c r="D10" i="2" l="1"/>
  <c r="C10" i="2"/>
  <c r="E36" i="5"/>
  <c r="E39" i="5"/>
  <c r="E38" i="5"/>
  <c r="E37" i="5"/>
  <c r="F22" i="5"/>
  <c r="D9" i="2" s="1"/>
  <c r="E32" i="5"/>
  <c r="E30" i="5"/>
  <c r="F18" i="5" l="1"/>
  <c r="E18" i="5"/>
  <c r="E17" i="5"/>
  <c r="E19" i="5" s="1"/>
  <c r="F17" i="5"/>
  <c r="F19" i="5" s="1"/>
  <c r="E40" i="5"/>
  <c r="D7" i="2"/>
  <c r="C8" i="2" l="1"/>
  <c r="D8" i="2"/>
  <c r="E22" i="5"/>
  <c r="C9" i="2" s="1"/>
  <c r="C7" i="2"/>
  <c r="F41" i="6" l="1"/>
  <c r="G49" i="6" l="1"/>
  <c r="F50" i="6"/>
  <c r="G54" i="6"/>
  <c r="F29" i="7"/>
  <c r="F15" i="7" l="1"/>
  <c r="G17" i="6"/>
  <c r="G18" i="6" s="1"/>
  <c r="G19" i="6" l="1"/>
  <c r="G64" i="6"/>
  <c r="I64" i="6" s="1"/>
  <c r="H29" i="4" l="1"/>
  <c r="G29" i="4"/>
  <c r="F37" i="6" l="1"/>
  <c r="F52" i="6" s="1"/>
  <c r="F53" i="6" s="1"/>
  <c r="G23" i="4" l="1"/>
  <c r="H19" i="4" l="1"/>
  <c r="G19" i="4"/>
  <c r="H17" i="4"/>
  <c r="H21" i="4" s="1"/>
  <c r="G17" i="4"/>
  <c r="H15" i="4"/>
  <c r="G40" i="6" s="1"/>
  <c r="G15" i="4"/>
  <c r="G41" i="6" s="1"/>
  <c r="H13" i="4"/>
  <c r="H7" i="4" s="1"/>
  <c r="G13" i="4"/>
  <c r="H11" i="4"/>
  <c r="G11" i="4"/>
  <c r="H9" i="4"/>
  <c r="G9" i="4"/>
  <c r="G21" i="4" l="1"/>
  <c r="G36" i="6"/>
  <c r="G51" i="6" s="1"/>
  <c r="G37" i="6"/>
  <c r="G52" i="6" s="1"/>
  <c r="G7" i="4"/>
  <c r="H6" i="4"/>
  <c r="H10" i="4" s="1"/>
  <c r="G6" i="4"/>
  <c r="G20" i="4" s="1"/>
  <c r="F6" i="4"/>
  <c r="E6" i="4"/>
  <c r="E24" i="4" s="1"/>
  <c r="E7" i="4"/>
  <c r="M37" i="3"/>
  <c r="L37" i="3"/>
  <c r="K37" i="3"/>
  <c r="J37" i="3"/>
  <c r="I37" i="3"/>
  <c r="H37" i="3"/>
  <c r="G37" i="3"/>
  <c r="F37" i="3"/>
  <c r="D37" i="3"/>
  <c r="L36" i="3"/>
  <c r="K36" i="3"/>
  <c r="J36" i="3"/>
  <c r="I36" i="3"/>
  <c r="H36" i="3"/>
  <c r="G36" i="3"/>
  <c r="F36" i="3"/>
  <c r="D36" i="3"/>
  <c r="M33" i="3"/>
  <c r="L33" i="3"/>
  <c r="K33" i="3"/>
  <c r="J33" i="3"/>
  <c r="I33" i="3"/>
  <c r="H33" i="3"/>
  <c r="F6" i="6" s="1"/>
  <c r="G33" i="3"/>
  <c r="F33" i="3"/>
  <c r="D33" i="3"/>
  <c r="D31" i="3"/>
  <c r="D30" i="3"/>
  <c r="D29" i="3"/>
  <c r="L28" i="3"/>
  <c r="M30" i="3" s="1"/>
  <c r="K28" i="3"/>
  <c r="J28" i="3"/>
  <c r="I28" i="3"/>
  <c r="H28" i="3"/>
  <c r="G28" i="3"/>
  <c r="F28" i="3"/>
  <c r="F30" i="3" s="1"/>
  <c r="D28" i="3"/>
  <c r="M27" i="3"/>
  <c r="L27" i="3"/>
  <c r="K27" i="3"/>
  <c r="J27" i="3"/>
  <c r="I27" i="3"/>
  <c r="H27" i="3"/>
  <c r="G27" i="3"/>
  <c r="F27" i="3"/>
  <c r="F29" i="3" s="1"/>
  <c r="D27" i="3"/>
  <c r="D40" i="3"/>
  <c r="D25" i="3"/>
  <c r="D24" i="3"/>
  <c r="D23" i="3"/>
  <c r="D22" i="3"/>
  <c r="D21" i="3"/>
  <c r="M20" i="3"/>
  <c r="K20" i="3"/>
  <c r="K26" i="3" s="1"/>
  <c r="J20" i="3"/>
  <c r="J24" i="3" s="1"/>
  <c r="I20" i="3"/>
  <c r="I24" i="3" s="1"/>
  <c r="H20" i="3"/>
  <c r="H24" i="3" s="1"/>
  <c r="G20" i="3"/>
  <c r="G24" i="3" s="1"/>
  <c r="F20" i="3"/>
  <c r="F24" i="3" s="1"/>
  <c r="D20" i="3"/>
  <c r="M25" i="3"/>
  <c r="L19" i="3"/>
  <c r="K19" i="3"/>
  <c r="K23" i="3" s="1"/>
  <c r="J19" i="3"/>
  <c r="J23" i="3" s="1"/>
  <c r="I19" i="3"/>
  <c r="I23" i="3" s="1"/>
  <c r="H19" i="3"/>
  <c r="H23" i="3" s="1"/>
  <c r="G19" i="3"/>
  <c r="G23" i="3" s="1"/>
  <c r="F23" i="3"/>
  <c r="D19" i="3"/>
  <c r="M18" i="3"/>
  <c r="L18" i="3"/>
  <c r="K18" i="3"/>
  <c r="J18" i="3"/>
  <c r="I18" i="3"/>
  <c r="H18" i="3"/>
  <c r="G18" i="3"/>
  <c r="F18" i="3"/>
  <c r="D18" i="3"/>
  <c r="L17" i="3"/>
  <c r="K17" i="3"/>
  <c r="J17" i="3"/>
  <c r="H17" i="3"/>
  <c r="G17" i="3"/>
  <c r="D17" i="3"/>
  <c r="M14" i="3"/>
  <c r="L14" i="3"/>
  <c r="K14" i="3"/>
  <c r="J14" i="3"/>
  <c r="I14" i="3"/>
  <c r="H14" i="3"/>
  <c r="G14" i="3"/>
  <c r="D14" i="3"/>
  <c r="L13" i="3"/>
  <c r="K13" i="3"/>
  <c r="J13" i="3"/>
  <c r="I13" i="3"/>
  <c r="H13" i="3"/>
  <c r="G13" i="3"/>
  <c r="D13" i="3"/>
  <c r="D12" i="3"/>
  <c r="D11" i="3"/>
  <c r="D10" i="3"/>
  <c r="D9" i="3"/>
  <c r="F5" i="3"/>
  <c r="G5" i="3" s="1"/>
  <c r="H5" i="3" s="1"/>
  <c r="I5" i="3" s="1"/>
  <c r="J5" i="3" s="1"/>
  <c r="K5" i="3" s="1"/>
  <c r="L5" i="3" s="1"/>
  <c r="M5" i="3" s="1"/>
  <c r="N5" i="3" s="1"/>
  <c r="M29" i="3" l="1"/>
  <c r="F7" i="6"/>
  <c r="F24" i="4"/>
  <c r="F8" i="4"/>
  <c r="G53" i="6"/>
  <c r="G29" i="3"/>
  <c r="K29" i="3"/>
  <c r="J30" i="3"/>
  <c r="F12" i="6"/>
  <c r="F14" i="6" s="1"/>
  <c r="G43" i="6"/>
  <c r="G42" i="6"/>
  <c r="F43" i="6"/>
  <c r="F42" i="6"/>
  <c r="L21" i="3"/>
  <c r="L23" i="3"/>
  <c r="G6" i="6"/>
  <c r="G7" i="6" s="1"/>
  <c r="M26" i="3"/>
  <c r="M24" i="3"/>
  <c r="M22" i="3"/>
  <c r="F49" i="6"/>
  <c r="G12" i="6"/>
  <c r="G13" i="6" s="1"/>
  <c r="H18" i="4"/>
  <c r="H24" i="4"/>
  <c r="H12" i="4"/>
  <c r="G10" i="4"/>
  <c r="E26" i="4"/>
  <c r="I29" i="3"/>
  <c r="H30" i="3"/>
  <c r="L30" i="3"/>
  <c r="E8" i="4"/>
  <c r="F18" i="4"/>
  <c r="F10" i="4"/>
  <c r="E22" i="4"/>
  <c r="E18" i="4"/>
  <c r="F26" i="4"/>
  <c r="H8" i="4"/>
  <c r="E10" i="4"/>
  <c r="E20" i="4"/>
  <c r="E28" i="4"/>
  <c r="F12" i="4"/>
  <c r="F20" i="4"/>
  <c r="F28" i="4"/>
  <c r="G16" i="4"/>
  <c r="G26" i="4"/>
  <c r="H14" i="4"/>
  <c r="H26" i="4"/>
  <c r="E29" i="7"/>
  <c r="G8" i="4"/>
  <c r="G24" i="4"/>
  <c r="G22" i="4"/>
  <c r="E14" i="4"/>
  <c r="E12" i="4"/>
  <c r="F14" i="4"/>
  <c r="F22" i="4"/>
  <c r="G18" i="4"/>
  <c r="G28" i="4"/>
  <c r="H16" i="4"/>
  <c r="H28" i="4"/>
  <c r="G14" i="4"/>
  <c r="H29" i="3"/>
  <c r="H22" i="4"/>
  <c r="E16" i="4"/>
  <c r="F16" i="4"/>
  <c r="G12" i="4"/>
  <c r="H20" i="4"/>
  <c r="G30" i="3"/>
  <c r="K30" i="3"/>
  <c r="L29" i="3"/>
  <c r="J29" i="3"/>
  <c r="I30" i="3"/>
  <c r="Q5" i="3"/>
  <c r="P5" i="3"/>
  <c r="O5" i="3"/>
  <c r="H21" i="3"/>
  <c r="J22" i="3"/>
  <c r="I21" i="3"/>
  <c r="G22" i="3"/>
  <c r="K22" i="3"/>
  <c r="M23" i="3"/>
  <c r="K24" i="3"/>
  <c r="K25" i="3"/>
  <c r="F22" i="3"/>
  <c r="F21" i="3"/>
  <c r="J21" i="3"/>
  <c r="H22" i="3"/>
  <c r="L22" i="3"/>
  <c r="L24" i="3"/>
  <c r="L25" i="3"/>
  <c r="G21" i="3"/>
  <c r="K21" i="3"/>
  <c r="I22" i="3"/>
  <c r="F13" i="6" l="1"/>
  <c r="E15" i="7"/>
  <c r="F62" i="6"/>
  <c r="H62" i="6" s="1"/>
  <c r="F30" i="4"/>
  <c r="E28" i="5" s="1"/>
  <c r="H31" i="4"/>
  <c r="F30" i="7" s="1"/>
  <c r="G30" i="4"/>
  <c r="F29" i="5" s="1"/>
  <c r="G62" i="6"/>
  <c r="I62" i="6" s="1"/>
  <c r="G14" i="6"/>
  <c r="F31" i="4"/>
  <c r="E30" i="7" s="1"/>
  <c r="F17" i="6"/>
  <c r="F18" i="6" s="1"/>
  <c r="F60" i="6"/>
  <c r="F8" i="6"/>
  <c r="E31" i="4"/>
  <c r="E31" i="7" s="1"/>
  <c r="E32" i="4"/>
  <c r="G32" i="4"/>
  <c r="H30" i="4"/>
  <c r="F28" i="5" s="1"/>
  <c r="G31" i="4"/>
  <c r="F31" i="7" s="1"/>
  <c r="E30" i="4"/>
  <c r="E29" i="5" s="1"/>
  <c r="G60" i="6"/>
  <c r="G8" i="6"/>
  <c r="G9" i="6"/>
  <c r="G10" i="6" s="1"/>
  <c r="F9" i="6"/>
  <c r="F10" i="6" s="1"/>
  <c r="H32" i="4"/>
  <c r="F32" i="7" s="1"/>
  <c r="F10" i="7" s="1"/>
  <c r="F32" i="4"/>
  <c r="E32" i="7" s="1"/>
  <c r="E10" i="7" s="1"/>
  <c r="E14" i="7"/>
  <c r="E16" i="7" s="1"/>
  <c r="F14" i="7"/>
  <c r="F16" i="7" s="1"/>
  <c r="E18" i="7" l="1"/>
  <c r="F18" i="7"/>
  <c r="E9" i="5"/>
  <c r="F9" i="5"/>
  <c r="F9" i="7"/>
  <c r="F17" i="7"/>
  <c r="F19" i="7" s="1"/>
  <c r="I60" i="6"/>
  <c r="H60" i="6"/>
  <c r="F8" i="5"/>
  <c r="F10" i="5" s="1"/>
  <c r="E17" i="7"/>
  <c r="E19" i="7" s="1"/>
  <c r="F19" i="6"/>
  <c r="F64" i="6"/>
  <c r="H64" i="6" s="1"/>
  <c r="G20" i="6"/>
  <c r="F20" i="6"/>
  <c r="F61" i="6"/>
  <c r="H61" i="6" s="1"/>
  <c r="F11" i="6"/>
  <c r="E8" i="5"/>
  <c r="E10" i="5" s="1"/>
  <c r="G11" i="6"/>
  <c r="G61" i="6"/>
  <c r="I61" i="6" s="1"/>
  <c r="E9" i="7"/>
  <c r="E11" i="7" s="1"/>
  <c r="F11" i="7"/>
  <c r="F12" i="7"/>
  <c r="F26" i="6" l="1"/>
  <c r="G26" i="6"/>
  <c r="F20" i="7"/>
  <c r="D29" i="2" s="1"/>
  <c r="E12" i="7"/>
  <c r="F65" i="6"/>
  <c r="F22" i="6"/>
  <c r="G65" i="6"/>
  <c r="G29" i="6" s="1"/>
  <c r="D19" i="2" s="1"/>
  <c r="E20" i="7"/>
  <c r="C29" i="2" s="1"/>
  <c r="F25" i="6"/>
  <c r="F28" i="6" s="1"/>
  <c r="G25" i="6"/>
  <c r="C14" i="2"/>
  <c r="G22" i="6"/>
  <c r="D14" i="2"/>
  <c r="F21" i="7"/>
  <c r="D30" i="2" s="1"/>
  <c r="E13" i="7"/>
  <c r="C28" i="2" s="1"/>
  <c r="C27" i="2"/>
  <c r="F13" i="7"/>
  <c r="D28" i="2" s="1"/>
  <c r="D27" i="2"/>
  <c r="F31" i="5"/>
  <c r="F29" i="6" l="1"/>
  <c r="C19" i="2" s="1"/>
  <c r="F30" i="6"/>
  <c r="C20" i="2" s="1"/>
  <c r="E21" i="7"/>
  <c r="C30" i="2" s="1"/>
  <c r="G28" i="6"/>
  <c r="G30" i="6" s="1"/>
  <c r="D20" i="2" s="1"/>
  <c r="F15" i="5"/>
  <c r="F12" i="5"/>
  <c r="G21" i="6"/>
  <c r="D15" i="2" s="1"/>
  <c r="C18" i="2"/>
  <c r="F21" i="6"/>
  <c r="C15" i="2" s="1"/>
  <c r="F31" i="6"/>
  <c r="C21" i="2" s="1"/>
  <c r="G23" i="6"/>
  <c r="D17" i="2" s="1"/>
  <c r="G31" i="6"/>
  <c r="D21" i="2" s="1"/>
  <c r="F27" i="6"/>
  <c r="F23" i="6"/>
  <c r="C17" i="2" s="1"/>
  <c r="G27" i="6"/>
  <c r="D16" i="2"/>
  <c r="C16" i="2"/>
  <c r="F11" i="5"/>
  <c r="F13" i="5" s="1"/>
  <c r="F14" i="5"/>
  <c r="F16" i="5" s="1"/>
  <c r="E31" i="5"/>
  <c r="D18" i="2" l="1"/>
  <c r="E15" i="5"/>
  <c r="E12" i="5"/>
  <c r="E14" i="5"/>
  <c r="E16" i="5" s="1"/>
  <c r="E11" i="5"/>
  <c r="E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<sst xmlns="http://schemas.openxmlformats.org/spreadsheetml/2006/main" count="419" uniqueCount="319">
  <si>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</si>
  <si>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</si>
  <si>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</si>
  <si>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</si>
  <si>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</si>
  <si>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</si>
  <si>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</si>
  <si>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</si>
  <si>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</si>
  <si>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</si>
  <si>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</si>
  <si>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</si>
  <si>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</si>
  <si>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</si>
  <si>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</si>
  <si>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</si>
  <si>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</si>
  <si>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</si>
  <si>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</si>
  <si>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</si>
  <si>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</si>
  <si>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r>
      <t xml:space="preserve">1. Fiskalinės drausmės taisyklių laikymosi suvestinė 2020 m.
</t>
    </r>
    <r>
      <rPr>
        <b/>
        <i/>
        <sz val="11"/>
        <color rgb="FF00244D"/>
        <rFont val="Arial"/>
        <family val="2"/>
        <charset val="186"/>
      </rPr>
      <t>Summary of the fulfilment of the fiscal discipline rules in year 2020</t>
    </r>
  </si>
  <si>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</si>
  <si>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</si>
  <si>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</si>
  <si>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</si>
  <si>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</si>
  <si>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</si>
  <si>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</si>
  <si>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</si>
  <si>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</si>
  <si>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</si>
  <si>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</si>
  <si>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</si>
  <si>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</si>
  <si>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</si>
  <si>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</si>
  <si>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 xml:space="preserve">Netikrinama </t>
  </si>
  <si>
    <t xml:space="preserve">Netikrinama 
</t>
  </si>
  <si>
    <t>Is GG expenditure growth limiting rule valid?</t>
  </si>
  <si>
    <t>Not verified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</si>
  <si>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</si>
  <si>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</si>
  <si>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</si>
  <si>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</si>
  <si>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</si>
  <si>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</si>
  <si>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</si>
  <si>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</si>
  <si>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</si>
  <si>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</si>
  <si>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</si>
  <si>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</si>
  <si>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</si>
  <si>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</si>
  <si>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</si>
  <si>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</si>
  <si>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</si>
  <si>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</si>
  <si>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</si>
  <si>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</si>
  <si>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Faktas / Actuals</t>
  </si>
  <si>
    <r>
      <rPr>
        <sz val="11"/>
        <rFont val="Arial"/>
        <family val="2"/>
        <charset val="186"/>
      </rPr>
      <t xml:space="preserve">2021 Projekcijos </t>
    </r>
    <r>
      <rPr>
        <i/>
        <sz val="11"/>
        <rFont val="Arial"/>
        <family val="2"/>
        <charset val="186"/>
      </rPr>
      <t xml:space="preserve">/ </t>
    </r>
    <r>
      <rPr>
        <sz val="11"/>
        <rFont val="Arial"/>
        <family val="2"/>
        <charset val="186"/>
      </rPr>
      <t>Projections</t>
    </r>
  </si>
  <si>
    <t>Laikas / Time</t>
  </si>
  <si>
    <t>T</t>
  </si>
  <si>
    <r>
      <t>t−8</t>
    </r>
    <r>
      <rPr>
        <sz val="11"/>
        <color rgb="FF000000"/>
        <rFont val="Arial"/>
        <family val="2"/>
        <charset val="186"/>
      </rPr>
      <t/>
    </r>
  </si>
  <si>
    <r>
      <t>t−7</t>
    </r>
    <r>
      <rPr>
        <sz val="11"/>
        <color rgb="FF000000"/>
        <rFont val="Arial"/>
        <family val="2"/>
        <charset val="186"/>
      </rPr>
      <t/>
    </r>
  </si>
  <si>
    <r>
      <t>t−6</t>
    </r>
    <r>
      <rPr>
        <sz val="11"/>
        <color rgb="FF000000"/>
        <rFont val="Arial"/>
        <family val="2"/>
        <charset val="186"/>
      </rPr>
      <t/>
    </r>
  </si>
  <si>
    <r>
      <t>t−5</t>
    </r>
    <r>
      <rPr>
        <sz val="11"/>
        <color rgb="FF000000"/>
        <rFont val="Arial"/>
        <family val="2"/>
        <charset val="186"/>
      </rPr>
      <t/>
    </r>
  </si>
  <si>
    <r>
      <t>t−4</t>
    </r>
    <r>
      <rPr>
        <sz val="11"/>
        <color rgb="FF000000"/>
        <rFont val="Arial"/>
        <family val="2"/>
        <charset val="186"/>
      </rPr>
      <t/>
    </r>
  </si>
  <si>
    <r>
      <t>t−3</t>
    </r>
    <r>
      <rPr>
        <sz val="11"/>
        <color rgb="FF000000"/>
        <rFont val="Arial"/>
        <family val="2"/>
        <charset val="186"/>
      </rPr>
      <t/>
    </r>
  </si>
  <si>
    <t>t−2</t>
  </si>
  <si>
    <t>t−1</t>
  </si>
  <si>
    <t>t</t>
  </si>
  <si>
    <t>t+1</t>
  </si>
  <si>
    <t>t+2</t>
  </si>
  <si>
    <t>t+3</t>
  </si>
  <si>
    <t>t+4</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</si>
  <si>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</si>
  <si>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</si>
  <si>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</si>
  <si>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</si>
  <si>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</si>
  <si>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</si>
  <si>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</si>
  <si>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</si>
  <si>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</si>
  <si>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</si>
  <si>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</si>
  <si>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</si>
  <si>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</si>
  <si>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</si>
  <si>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</si>
  <si>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</si>
  <si>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</si>
  <si>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</si>
  <si>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</si>
  <si>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</si>
  <si>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</si>
  <si>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</si>
  <si>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</si>
  <si>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</si>
  <si>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Vidutinė metinė SVKI infliacija
</t>
    </r>
    <r>
      <rPr>
        <i/>
        <sz val="11"/>
        <color rgb="FF000000"/>
        <rFont val="Arial"/>
        <family val="2"/>
        <charset val="186"/>
      </rPr>
      <t>Average annual HICP inflation</t>
    </r>
  </si>
  <si>
    <t xml:space="preserve">ΔSVKI(T)
</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</si>
  <si>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</si>
  <si>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</si>
  <si>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</si>
  <si>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</si>
  <si>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</si>
  <si>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</si>
  <si>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</si>
  <si>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</si>
  <si>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</si>
  <si>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</si>
  <si>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</si>
  <si>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</si>
  <si>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</si>
  <si>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</si>
  <si>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</si>
  <si>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European Commission, Eurostat, Statistics Lithuania</t>
  </si>
  <si>
    <t>Finansų ministerija (FM)</t>
  </si>
  <si>
    <t>Ministry of Finance (MoF)</t>
  </si>
  <si>
    <t>Valstybės kontrolės, vykdančios fiskalinės institucijos funkcijas, skaičiavimai</t>
  </si>
  <si>
    <t>National Audit Office of Lithuania, implementing the functions of the fiscal institution, calculations</t>
  </si>
  <si>
    <t>ERS – ekonominės raidos scenarijus</t>
  </si>
  <si>
    <t>EDS – economic development scenario</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</si>
  <si>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</si>
  <si>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</si>
  <si>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</si>
  <si>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</si>
  <si>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</si>
  <si>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</si>
  <si>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</si>
  <si>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</si>
  <si>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</si>
  <si>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</si>
  <si>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</si>
  <si>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</si>
  <si>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</si>
  <si>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</si>
  <si>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</si>
  <si>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</si>
  <si>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</si>
  <si>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</si>
  <si>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</si>
  <si>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</si>
  <si>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</si>
  <si>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</si>
  <si>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</si>
  <si>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</si>
  <si>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</si>
  <si>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</si>
  <si>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</si>
  <si>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</si>
  <si>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</si>
  <si>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</si>
  <si>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</si>
  <si>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</si>
  <si>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</si>
  <si>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</si>
  <si>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</si>
  <si>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</si>
  <si>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</si>
  <si>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</si>
  <si>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</si>
  <si>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</si>
  <si>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</si>
  <si>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</si>
  <si>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</si>
  <si>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</si>
  <si>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</si>
  <si>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r>
      <t xml:space="preserve">5. Perteklinio VS taisyklės sąlygos
</t>
    </r>
    <r>
      <rPr>
        <b/>
        <i/>
        <sz val="11"/>
        <color rgb="FF00244D"/>
        <rFont val="Arial"/>
        <family val="2"/>
        <charset val="186"/>
      </rPr>
      <t>Conditions of the surplus GG sector rule</t>
    </r>
  </si>
  <si>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</si>
  <si>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</si>
  <si>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</si>
  <si>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</si>
  <si>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</si>
  <si>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</si>
  <si>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rgb="FF000000"/>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</si>
  <si>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</si>
  <si>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</si>
  <si>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</si>
  <si>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rgb="FF000000"/>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</si>
  <si>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</si>
  <si>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</si>
  <si>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</si>
  <si>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rgb="FF000000"/>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</si>
  <si>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</si>
  <si>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</si>
  <si>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</si>
  <si>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rgb="FF000000"/>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</si>
  <si>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</si>
  <si>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</si>
  <si>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</si>
  <si>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</si>
  <si>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rgb="FF00244D"/>
        <rFont val="Arial"/>
        <family val="2"/>
        <charset val="186"/>
      </rPr>
      <t>1</t>
    </r>
    <r>
      <rPr>
        <b/>
        <sz val="11"/>
        <color rgb="FF00244D"/>
        <rFont val="Arial"/>
        <family val="2"/>
        <charset val="186"/>
      </rPr>
      <t>–S</t>
    </r>
    <r>
      <rPr>
        <b/>
        <vertAlign val="subscript"/>
        <sz val="11"/>
        <color rgb="FF00244D"/>
        <rFont val="Arial"/>
        <family val="2"/>
        <charset val="186"/>
      </rPr>
      <t xml:space="preserve">4 </t>
    </r>
    <r>
      <rPr>
        <b/>
        <sz val="11"/>
        <color rgb="FF00244D"/>
        <rFont val="Arial"/>
        <family val="2"/>
        <charset val="186"/>
      </rPr>
      <t xml:space="preserve">sąlygų </t>
    </r>
  </si>
  <si>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</si>
  <si>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</si>
  <si>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</si>
  <si>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</si>
  <si>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</si>
  <si>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</si>
  <si>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</si>
  <si>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</si>
  <si>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</si>
  <si>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</si>
  <si>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</si>
  <si>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</si>
  <si>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</si>
  <si>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</si>
  <si>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</si>
  <si>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</si>
  <si>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</si>
  <si>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</si>
  <si>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</si>
  <si>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6. VS išlaidų augimo ribojimo taisyklė
</t>
    </r>
    <r>
      <rPr>
        <b/>
        <i/>
        <sz val="11"/>
        <color rgb="FF00244D"/>
        <rFont val="Arial"/>
        <family val="2"/>
        <charset val="186"/>
      </rPr>
      <t>GG expenditure growth limiting rule</t>
    </r>
  </si>
  <si>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</si>
  <si>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</si>
  <si>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rgb="FF000000"/>
        <rFont val="Arial"/>
        <family val="2"/>
        <charset val="186"/>
      </rPr>
      <t>A</t>
    </r>
    <r>
      <rPr>
        <vertAlign val="subscript"/>
        <sz val="11"/>
        <color rgb="FF000000"/>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</si>
  <si>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</si>
  <si>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</si>
  <si>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rgb="FF000000"/>
        <rFont val="Arial"/>
        <family val="2"/>
        <charset val="186"/>
      </rPr>
      <t>A</t>
    </r>
    <r>
      <rPr>
        <vertAlign val="subscript"/>
        <sz val="11"/>
        <color rgb="FF000000"/>
        <rFont val="Arial"/>
        <family val="2"/>
        <charset val="186"/>
      </rPr>
      <t>2</t>
    </r>
  </si>
  <si>
    <t>Numatomas VS balanso rodiklio postūmis yra teigiamas ir sudaro bent 1,0 procentinį punktą BVP</t>
  </si>
  <si>
    <t>B(t) ≥ B(t–1)+1</t>
  </si>
  <si>
    <t>Projected GG sector balance indicator adjustment is positive and makes up at least 1.0 percentage point of GDP</t>
  </si>
  <si>
    <r>
      <rPr>
        <sz val="11"/>
        <color rgb="FF000000"/>
        <rFont val="Arial"/>
        <family val="2"/>
        <charset val="186"/>
      </rPr>
      <t>A</t>
    </r>
    <r>
      <rPr>
        <vertAlign val="subscript"/>
        <sz val="11"/>
        <color rgb="FF000000"/>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</si>
  <si>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</si>
  <si>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</si>
  <si>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rgb="FF000000"/>
        <rFont val="Arial"/>
        <family val="2"/>
        <charset val="186"/>
      </rPr>
      <t>A</t>
    </r>
    <r>
      <rPr>
        <vertAlign val="subscript"/>
        <sz val="11"/>
        <color rgb="FF000000"/>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</si>
  <si>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</si>
  <si>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B**(t–1) ≥ B(t–1)</t>
  </si>
  <si>
    <t>Netaikoma</t>
  </si>
  <si>
    <t>If planned current year GG sector budgets, the planned appropriations of each of which exceed 3 % of GDP at current prices, are subject to amendment,  the adjusted aggregate balances of the GG budgets is not worse than the one before the amendment</t>
  </si>
  <si>
    <t>Not applied</t>
  </si>
  <si>
    <r>
      <rPr>
        <sz val="11"/>
        <color rgb="FF000000"/>
        <rFont val="Arial"/>
        <family val="2"/>
        <charset val="186"/>
      </rPr>
      <t>A</t>
    </r>
    <r>
      <rPr>
        <vertAlign val="subscript"/>
        <sz val="11"/>
        <color rgb="FF000000"/>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</si>
  <si>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</si>
  <si>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</si>
  <si>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</si>
  <si>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</si>
  <si>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rgb="FF00244D"/>
        <rFont val="Arial"/>
        <family val="2"/>
        <charset val="186"/>
      </rPr>
      <t>1</t>
    </r>
    <r>
      <rPr>
        <b/>
        <sz val="11"/>
        <color rgb="FF00244D"/>
        <rFont val="Arial"/>
        <family val="2"/>
        <charset val="186"/>
      </rPr>
      <t>–A</t>
    </r>
    <r>
      <rPr>
        <b/>
        <vertAlign val="subscript"/>
        <sz val="11"/>
        <color rgb="FF00244D"/>
        <rFont val="Arial"/>
        <family val="2"/>
        <charset val="186"/>
      </rPr>
      <t>5</t>
    </r>
    <r>
      <rPr>
        <b/>
        <sz val="11"/>
        <color rgb="FF00244D"/>
        <rFont val="Arial"/>
        <family val="2"/>
        <charset val="186"/>
      </rPr>
      <t xml:space="preserve"> aplinkybių
</t>
    </r>
  </si>
  <si>
    <t>at year t the GG expenditure growth limiting rule is not applied when at least one of the  A1–A5 escape clauses emerges</t>
  </si>
  <si>
    <r>
      <t xml:space="preserve">Taisyklė
</t>
    </r>
    <r>
      <rPr>
        <i/>
        <sz val="11"/>
        <color rgb="FF000000"/>
        <rFont val="Arial"/>
        <family val="2"/>
        <charset val="186"/>
      </rPr>
      <t>Rule</t>
    </r>
  </si>
  <si>
    <r>
      <t xml:space="preserve">Formulė 
</t>
    </r>
    <r>
      <rPr>
        <i/>
        <sz val="11"/>
        <color rgb="FF000000"/>
        <rFont val="Arial"/>
        <family val="2"/>
        <charset val="186"/>
      </rPr>
      <t>Formula</t>
    </r>
  </si>
  <si>
    <r>
      <t>T</t>
    </r>
    <r>
      <rPr>
        <vertAlign val="subscript"/>
        <sz val="11"/>
        <color rgb="FF000000"/>
        <rFont val="Arial"/>
        <family val="2"/>
        <charset val="186"/>
      </rPr>
      <t>1</t>
    </r>
  </si>
  <si>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</si>
  <si>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</si>
  <si>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</si>
  <si>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</si>
  <si>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 inequality sign is strict, if a difference between both compared sides after rounding is at least 0,1,  else the sign is interpreted as =
** the adjusted aggregate balances of the GG budgets</t>
  </si>
  <si>
    <t>Šaltinis: KĮ 3 straipsnis 3 dalis</t>
  </si>
  <si>
    <t>Source: CL Article 3(3)</t>
  </si>
  <si>
    <t>AV3(t) =</t>
  </si>
  <si>
    <t>AV3(t–1) =</t>
  </si>
  <si>
    <t>ES(t) =</t>
  </si>
  <si>
    <t>ES(t–1) =</t>
  </si>
  <si>
    <t>VI(t) =</t>
  </si>
  <si>
    <t>VI(t–1) =</t>
  </si>
  <si>
    <t>B(t–1)–B(t–2) =</t>
  </si>
  <si>
    <t>BP(t–1)–BP(t–2) =</t>
  </si>
  <si>
    <t>2020 m. pavasario ERS</t>
  </si>
  <si>
    <t>P1(t)/P1(t–1) =</t>
  </si>
  <si>
    <t>2020 m. rudens ERS</t>
  </si>
  <si>
    <t>P2(t)/P2(t–1) =</t>
  </si>
  <si>
    <t>2019 m. rudens EK projekcijos</t>
  </si>
  <si>
    <t>P3(t)/P3(t–1) =</t>
  </si>
  <si>
    <t>2020 m. pavasario EK projekcijos</t>
  </si>
  <si>
    <t>P4(t)/P4(t–1) =</t>
  </si>
  <si>
    <t>2019K1-2019K4</t>
  </si>
  <si>
    <t>ΔYN(t–1) =</t>
  </si>
  <si>
    <t>AP(t)  =</t>
  </si>
  <si>
    <t>ΔSVKI(t)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</si>
  <si>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</si>
  <si>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</si>
  <si>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</si>
  <si>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</si>
  <si>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</si>
  <si>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</si>
  <si>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</si>
  <si>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</si>
  <si>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</si>
  <si>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</si>
  <si>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</si>
  <si>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</si>
  <si>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 xml:space="preserve">7. VS priskiriamų biudžetų taisyklės
</t>
    </r>
    <r>
      <rPr>
        <b/>
        <i/>
        <sz val="11"/>
        <color rgb="FF00244D"/>
        <rFont val="Arial"/>
        <family val="2"/>
        <charset val="186"/>
      </rPr>
      <t>Rules for the budgets attributable to GG sector</t>
    </r>
  </si>
  <si>
    <r>
      <t>T</t>
    </r>
    <r>
      <rPr>
        <vertAlign val="subscript"/>
        <sz val="11"/>
        <color rgb="FF000000"/>
        <rFont val="Arial"/>
        <family val="2"/>
        <charset val="186"/>
      </rPr>
      <t>31</t>
    </r>
  </si>
  <si>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</si>
  <si>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</si>
  <si>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Savivaldybių biudžetų atitiktis fiskalinės drausmės taisyklėms bus vertinama 2021 m. I pusmečio pabaigoje</t>
  </si>
  <si>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</si>
  <si>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t>Will be assessed at the end of the first half of 2021</t>
  </si>
  <si>
    <r>
      <t xml:space="preserve">Taisyklė savivaldybių (j) asignavimams, kurie viršija 0,3 proc. BVP
</t>
    </r>
    <r>
      <rPr>
        <b/>
        <i/>
        <sz val="11"/>
        <color rgb="FF00244D"/>
        <rFont val="Arial"/>
        <family val="2"/>
        <charset val="186"/>
      </rPr>
      <t>Rule for local governments (j) appropriations of which exceed 0.3 % of GDP</t>
    </r>
  </si>
  <si>
    <r>
      <t>T</t>
    </r>
    <r>
      <rPr>
        <vertAlign val="subscript"/>
        <sz val="11"/>
        <color rgb="FF000000"/>
        <rFont val="Arial"/>
        <family val="2"/>
        <charset val="186"/>
      </rPr>
      <t>32</t>
    </r>
  </si>
  <si>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</si>
  <si>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</si>
  <si>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</si>
  <si>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</si>
  <si>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rgb="FF000000"/>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</si>
  <si>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</si>
  <si>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</si>
  <si>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</si>
  <si>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</si>
  <si>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r>
      <t>Taisyklė</t>
    </r>
    <r>
      <rPr>
        <b/>
        <sz val="11"/>
        <color rgb="FFFF0000"/>
        <rFont val="Arial"/>
        <family val="2"/>
        <charset val="186"/>
      </rPr>
      <t xml:space="preserve"> </t>
    </r>
    <r>
      <rPr>
        <b/>
        <sz val="11"/>
        <color rgb="FF00244D"/>
        <rFont val="Arial"/>
        <family val="2"/>
        <charset val="186"/>
      </rPr>
      <t>VSDF struktūriniam biudžetui</t>
    </r>
  </si>
  <si>
    <t>Rule for VSDF structural budget</t>
  </si>
  <si>
    <r>
      <t>T</t>
    </r>
    <r>
      <rPr>
        <vertAlign val="subscript"/>
        <sz val="11"/>
        <color rgb="FF000000"/>
        <rFont val="Arial"/>
        <family val="2"/>
        <charset val="186"/>
      </rPr>
      <t>5</t>
    </r>
  </si>
  <si>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</si>
  <si>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</si>
  <si>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</si>
  <si>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</si>
  <si>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</si>
  <si>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</si>
  <si>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</si>
  <si>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</si>
  <si>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</si>
  <si>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</si>
  <si>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rgb="FF00244D"/>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</si>
  <si>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rgb="FF00244D"/>
        <rFont val="Arial"/>
        <family val="2"/>
        <charset val="186"/>
      </rPr>
      <t xml:space="preserve"> </t>
    </r>
    <r>
      <rPr>
        <sz val="12"/>
        <color rgb="FF00244D"/>
        <rFont val="Arial"/>
        <family val="2"/>
        <charset val="186"/>
      </rPr>
      <t>SUMMARY</t>
    </r>
  </si>
  <si>
    <t>2021-05-12 BPE–2</t>
  </si>
  <si>
    <t>Nuo 2018 m. sausio 1 d. PSDF biudžetas turi būti planuojamas, tvirtinamas, keičiamas ir vykdomas taip, kad, sprendžiant pagal to biudžeto struktūrinį balanso rodiklį, apskaičiuotą kaupiamuoju principu, jis būtų perteklinis arba subalansuotas</t>
  </si>
  <si>
    <t>2021 pavasario ERS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</si>
</sst>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s>
  <fonts count="4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8"/>
      <name val="Arial"/>
      <family val="2"/>
      <charset val="186"/>
    </font>
    <font>
      <sz val="10"/>
      <name val="Arial Baltic"/>
      <charset val="186"/>
    </font>
    <font>
      <b/>
      <sz val="9"/>
      <name val="Arial"/>
      <family val="2"/>
      <charset val="186"/>
    </font>
    <font>
      <sz val="8"/>
      <color rgb="FFFF0000"/>
      <name val="Arial"/>
      <family val="2"/>
      <charset val="186"/>
    </font>
    <font>
      <sz val="11"/>
      <color rgb="FF000000"/>
      <name val="Calibri"/>
      <family val="2"/>
      <charset val="186"/>
    </font>
    <font>
      <b/>
      <vertAlign val="subscript"/>
      <sz val="11"/>
      <color rgb="FF00244D"/>
      <name val="Arial"/>
      <family val="2"/>
      <charset val="186"/>
    </font>
    <font>
      <sz val="10"/>
      <color rgb="FF00244D"/>
      <name val="Arial"/>
      <family val="2"/>
      <charset val="186"/>
    </font>
    <font>
      <b/>
      <sz val="11"/>
      <color rgb="FFFF0000"/>
      <name val="Arial"/>
      <family val="2"/>
      <charset val="186"/>
    </font>
    <font>
      <sz val="11"/>
      <name val="Calibri Light"/>
      <family val="2"/>
      <charset val="186"/>
      <scheme val="major"/>
    </font>
    <font>
      <b/>
      <i/>
      <sz val="11"/>
      <color rgb="FF00244D"/>
      <name val="Arial"/>
      <family val="2"/>
      <charset val="186"/>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2"/>
      <color rgb="FF00244D"/>
      <name val="Arial"/>
      <family val="2"/>
      <charset val="186"/>
    </font>
    <font>
      <sz val="11"/>
      <color rgb="FF535141"/>
      <name val="Arial"/>
      <family val="2"/>
      <charset val="186"/>
    </font>
    <font>
      <sz val="14"/>
      <color rgb="FF535141"/>
      <name val="Arial"/>
      <family val="2"/>
      <charset val="186"/>
    </font>
    <font>
      <i/>
      <sz val="11"/>
      <color rgb="FF00244D"/>
      <name val="Arial"/>
      <family val="2"/>
      <charset val="186"/>
    </font>
    <font>
      <i/>
      <sz val="12"/>
      <color rgb="FF00244D"/>
      <name val="Arial"/>
      <family val="2"/>
      <charset val="186"/>
    </font>
    <font>
      <sz val="14"/>
      <color rgb="FF00244D"/>
      <name val="Arial"/>
      <family val="2"/>
      <charset val="186"/>
    </font>
    <font>
      <i/>
      <u/>
      <sz val="11"/>
      <color rgb="FF00244D"/>
      <name val="Arial"/>
      <family val="2"/>
      <charset val="186"/>
    </font>
    <font>
      <sz val="11"/>
      <color theme="4"/>
      <name val="Arial"/>
      <family val="2"/>
      <charset val="186"/>
    </font>
  </fonts>
  <fills count="10">
    <fill>
      <patternFill patternType="none"/>
    </fill>
    <fill>
      <patternFill patternType="gray125"/>
    </fill>
    <fill>
      <patternFill patternType="solid">
        <fgColor rgb="FFC9D6D9"/>
        <bgColor indexed="64"/>
      </patternFill>
    </fill>
    <fill>
      <patternFill patternType="solid">
        <fgColor rgb="FFC9D6D9"/>
        <bgColor rgb="FF000000"/>
      </patternFill>
    </fill>
    <fill>
      <patternFill patternType="solid">
        <fgColor rgb="FFD1D1D1"/>
        <bgColor rgb="FF000000"/>
      </patternFill>
    </fill>
    <fill>
      <patternFill patternType="solid">
        <fgColor rgb="FFB5DDF0"/>
        <bgColor rgb="FF000000"/>
      </patternFill>
    </fill>
    <fill>
      <patternFill patternType="solid">
        <fgColor rgb="FFF39EA0"/>
        <bgColor rgb="FF000000"/>
      </patternFill>
    </fill>
    <fill>
      <patternFill patternType="solid">
        <fgColor rgb="FFFFFFFF"/>
        <bgColor rgb="FF000000"/>
      </patternFill>
    </fill>
    <fill>
      <patternFill patternType="solid">
        <fgColor theme="0"/>
        <bgColor indexed="64"/>
      </patternFill>
    </fill>
    <fill>
      <patternFill patternType="solid">
        <fgColor rgb="FF00244D"/>
        <bgColor indexed="64"/>
      </patternFill>
    </fill>
  </fills>
  <borders count="49">
    <border>
      <left/>
      <right/>
      <top/>
      <bottom/>
      <diagonal/>
    </border>
    <border>
      <left style="medium">
        <color rgb="FF00244D"/>
      </left>
      <right style="medium">
        <color rgb="FF00244D"/>
      </right>
      <top style="medium">
        <color rgb="FF00244D"/>
      </top>
      <bottom style="medium">
        <color rgb="FF00244D"/>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thick">
        <color rgb="FF00244D"/>
      </left>
      <right style="medium">
        <color rgb="FF00244D"/>
      </right>
      <top style="thick">
        <color rgb="FF00244D"/>
      </top>
      <bottom style="medium">
        <color rgb="FF00244D"/>
      </bottom>
      <diagonal/>
    </border>
    <border>
      <left style="medium">
        <color rgb="FF00244D"/>
      </left>
      <right style="medium">
        <color rgb="FF00244D"/>
      </right>
      <top style="thick">
        <color rgb="FF00244D"/>
      </top>
      <bottom style="medium">
        <color rgb="FF00244D"/>
      </bottom>
      <diagonal/>
    </border>
    <border>
      <left style="medium">
        <color rgb="FF00244D"/>
      </left>
      <right style="thick">
        <color rgb="FF00244D"/>
      </right>
      <top style="thick">
        <color rgb="FF00244D"/>
      </top>
      <bottom style="medium">
        <color rgb="FF00244D"/>
      </bottom>
      <diagonal/>
    </border>
    <border>
      <left style="thick">
        <color rgb="FF00244D"/>
      </left>
      <right style="medium">
        <color rgb="FF00244D"/>
      </right>
      <top style="medium">
        <color rgb="FF00244D"/>
      </top>
      <bottom style="medium">
        <color rgb="FF00244D"/>
      </bottom>
      <diagonal/>
    </border>
    <border>
      <left style="medium">
        <color rgb="FF00244D"/>
      </left>
      <right style="thick">
        <color rgb="FF00244D"/>
      </right>
      <top style="medium">
        <color rgb="FF00244D"/>
      </top>
      <bottom style="medium">
        <color rgb="FF00244D"/>
      </bottom>
      <diagonal/>
    </border>
    <border>
      <left style="medium">
        <color rgb="FF00244D"/>
      </left>
      <right style="medium">
        <color rgb="FF00244D"/>
      </right>
      <top style="medium">
        <color rgb="FF00244D"/>
      </top>
      <bottom/>
      <diagonal/>
    </border>
    <border>
      <left style="medium">
        <color rgb="FF00244D"/>
      </left>
      <right style="thick">
        <color rgb="FF00244D"/>
      </right>
      <top style="medium">
        <color rgb="FF00244D"/>
      </top>
      <bottom/>
      <diagonal/>
    </border>
    <border>
      <left style="medium">
        <color rgb="FF00244D"/>
      </left>
      <right style="medium">
        <color rgb="FF00244D"/>
      </right>
      <top/>
      <bottom style="medium">
        <color rgb="FF00244D"/>
      </bottom>
      <diagonal/>
    </border>
    <border>
      <left style="medium">
        <color rgb="FF00244D"/>
      </left>
      <right style="thick">
        <color rgb="FF00244D"/>
      </right>
      <top/>
      <bottom style="medium">
        <color rgb="FF00244D"/>
      </bottom>
      <diagonal/>
    </border>
    <border>
      <left style="thick">
        <color rgb="FF00244D"/>
      </left>
      <right style="medium">
        <color rgb="FF00244D"/>
      </right>
      <top style="medium">
        <color rgb="FF00244D"/>
      </top>
      <bottom/>
      <diagonal/>
    </border>
    <border>
      <left style="thick">
        <color rgb="FF00244D"/>
      </left>
      <right style="medium">
        <color rgb="FF00244D"/>
      </right>
      <top/>
      <bottom style="medium">
        <color rgb="FF00244D"/>
      </bottom>
      <diagonal/>
    </border>
    <border>
      <left style="thick">
        <color rgb="FF00244D"/>
      </left>
      <right style="medium">
        <color rgb="FF00244D"/>
      </right>
      <top style="medium">
        <color rgb="FF00244D"/>
      </top>
      <bottom style="thick">
        <color rgb="FF00244D"/>
      </bottom>
      <diagonal/>
    </border>
    <border>
      <left style="medium">
        <color rgb="FF00244D"/>
      </left>
      <right/>
      <top style="medium">
        <color rgb="FF00244D"/>
      </top>
      <bottom style="medium">
        <color rgb="FF00244D"/>
      </bottom>
      <diagonal/>
    </border>
    <border>
      <left/>
      <right style="medium">
        <color rgb="FF00244D"/>
      </right>
      <top style="medium">
        <color rgb="FF00244D"/>
      </top>
      <bottom style="medium">
        <color rgb="FF00244D"/>
      </bottom>
      <diagonal/>
    </border>
    <border>
      <left/>
      <right/>
      <top style="medium">
        <color indexed="64"/>
      </top>
      <bottom style="medium">
        <color rgb="FF00244D"/>
      </bottom>
      <diagonal/>
    </border>
    <border>
      <left/>
      <right/>
      <top style="medium">
        <color rgb="FF00244D"/>
      </top>
      <bottom style="medium">
        <color rgb="FF00244D"/>
      </bottom>
      <diagonal/>
    </border>
    <border>
      <left style="medium">
        <color rgb="FF00244D"/>
      </left>
      <right style="medium">
        <color rgb="FF00244D"/>
      </right>
      <top/>
      <bottom style="thick">
        <color rgb="FF00244D"/>
      </bottom>
      <diagonal/>
    </border>
    <border>
      <left style="medium">
        <color rgb="FF00244D"/>
      </left>
      <right style="thick">
        <color rgb="FF00244D"/>
      </right>
      <top/>
      <bottom style="thick">
        <color rgb="FF00244D"/>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rgb="FF00244D"/>
      </left>
      <right style="medium">
        <color rgb="FF8D8473"/>
      </right>
      <top style="medium">
        <color rgb="FF00244D"/>
      </top>
      <bottom style="medium">
        <color rgb="FF00244D"/>
      </bottom>
      <diagonal/>
    </border>
    <border>
      <left style="medium">
        <color rgb="FF8D8473"/>
      </left>
      <right style="medium">
        <color rgb="FF00244D"/>
      </right>
      <top style="medium">
        <color rgb="FF00244D"/>
      </top>
      <bottom style="medium">
        <color rgb="FF00244D"/>
      </bottom>
      <diagonal/>
    </border>
    <border>
      <left/>
      <right style="thick">
        <color rgb="FF00244D"/>
      </right>
      <top style="medium">
        <color rgb="FF00244D"/>
      </top>
      <bottom style="medium">
        <color rgb="FF00244D"/>
      </bottom>
      <diagonal/>
    </border>
    <border>
      <left style="medium">
        <color rgb="FF00244D"/>
      </left>
      <right style="medium">
        <color rgb="FF00244D"/>
      </right>
      <top/>
      <bottom/>
      <diagonal/>
    </border>
    <border>
      <left style="thick">
        <color rgb="FF00244D"/>
      </left>
      <right style="medium">
        <color rgb="FF00244D"/>
      </right>
      <top/>
      <bottom/>
      <diagonal/>
    </border>
    <border>
      <left style="medium">
        <color rgb="FF00244D"/>
      </left>
      <right style="thick">
        <color rgb="FF00244D"/>
      </right>
      <top/>
      <bottom/>
      <diagonal/>
    </border>
    <border>
      <left/>
      <right style="thick">
        <color rgb="FF00244D"/>
      </right>
      <top style="medium">
        <color rgb="FF00244D"/>
      </top>
      <bottom/>
      <diagonal/>
    </border>
    <border>
      <left/>
      <right style="thick">
        <color rgb="FF00244D"/>
      </right>
      <top/>
      <bottom/>
      <diagonal/>
    </border>
    <border>
      <left/>
      <right style="thick">
        <color rgb="FF00244D"/>
      </right>
      <top/>
      <bottom style="medium">
        <color rgb="FF00244D"/>
      </bottom>
      <diagonal/>
    </border>
    <border>
      <left style="thick">
        <color rgb="FF00244D"/>
      </left>
      <right style="medium">
        <color rgb="FF00244D"/>
      </right>
      <top/>
      <bottom style="thick">
        <color rgb="FF00244D"/>
      </bottom>
      <diagonal/>
    </border>
    <border>
      <left style="medium">
        <color rgb="FF00244D"/>
      </left>
      <right/>
      <top/>
      <bottom style="thick">
        <color rgb="FF00244D"/>
      </bottom>
      <diagonal/>
    </border>
    <border>
      <left/>
      <right/>
      <top/>
      <bottom style="thin">
        <color rgb="FF00244D"/>
      </bottom>
      <diagonal/>
    </border>
    <border>
      <left/>
      <right/>
      <top style="thick">
        <color rgb="FF00244D"/>
      </top>
      <bottom/>
      <diagonal/>
    </border>
    <border>
      <left style="medium">
        <color indexed="64"/>
      </left>
      <right/>
      <top style="medium">
        <color indexed="64"/>
      </top>
      <bottom style="medium">
        <color rgb="FF00244D"/>
      </bottom>
      <diagonal/>
    </border>
    <border>
      <left/>
      <right style="medium">
        <color indexed="64"/>
      </right>
      <top style="medium">
        <color indexed="64"/>
      </top>
      <bottom style="medium">
        <color rgb="FF00244D"/>
      </bottom>
      <diagonal/>
    </border>
    <border>
      <left style="thick">
        <color rgb="FF00244D"/>
      </left>
      <right/>
      <top style="medium">
        <color rgb="FF00244D"/>
      </top>
      <bottom style="medium">
        <color rgb="FF00244D"/>
      </bottom>
      <diagonal/>
    </border>
  </borders>
  <cellStyleXfs count="7">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21" fillId="0" borderId="0"/>
  </cellStyleXfs>
  <cellXfs count="443">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8" fillId="0" borderId="13" xfId="0" applyFont="1" applyFill="1" applyBorder="1" applyAlignment="1">
      <alignment horizontal="right" wrapText="1" indent="1"/>
    </xf>
    <xf numFmtId="0" fontId="8" fillId="5" borderId="14" xfId="0" applyFont="1" applyFill="1" applyBorder="1" applyAlignment="1">
      <alignment horizontal="center" vertical="center"/>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1" xfId="0" applyFont="1" applyFill="1" applyBorder="1" applyAlignment="1">
      <alignment horizontal="center" vertical="center"/>
    </xf>
    <xf numFmtId="164"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indent="1"/>
    </xf>
    <xf numFmtId="164" fontId="8" fillId="7" borderId="1" xfId="0" applyNumberFormat="1" applyFont="1" applyFill="1" applyBorder="1" applyAlignment="1">
      <alignment horizontal="right" vertical="center" indent="1"/>
    </xf>
    <xf numFmtId="164" fontId="8" fillId="0" borderId="1" xfId="0" applyNumberFormat="1" applyFont="1" applyFill="1" applyBorder="1" applyAlignment="1">
      <alignment horizontal="right" vertical="center" indent="1"/>
    </xf>
    <xf numFmtId="164" fontId="3" fillId="7" borderId="1" xfId="0" applyNumberFormat="1" applyFont="1" applyFill="1" applyBorder="1" applyAlignment="1">
      <alignment horizontal="right" vertical="center" indent="1"/>
    </xf>
    <xf numFmtId="164" fontId="8" fillId="5" borderId="1" xfId="0" applyNumberFormat="1" applyFont="1" applyFill="1" applyBorder="1" applyAlignment="1">
      <alignment horizontal="right" vertical="center" indent="1"/>
    </xf>
    <xf numFmtId="164" fontId="8" fillId="4" borderId="1" xfId="0" applyNumberFormat="1" applyFont="1" applyFill="1" applyBorder="1" applyAlignment="1">
      <alignment horizontal="right" vertical="center" indent="1"/>
    </xf>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168" fontId="8" fillId="6" borderId="1" xfId="0" applyNumberFormat="1" applyFont="1" applyFill="1" applyBorder="1" applyAlignment="1">
      <alignment horizontal="right" vertical="center" indent="1"/>
    </xf>
    <xf numFmtId="164" fontId="16" fillId="7" borderId="1" xfId="0" applyNumberFormat="1" applyFont="1" applyFill="1" applyBorder="1" applyAlignment="1">
      <alignment horizontal="right" vertical="center" indent="1"/>
    </xf>
    <xf numFmtId="0" fontId="18" fillId="0" borderId="0" xfId="0" applyFont="1" applyFill="1" applyBorder="1"/>
    <xf numFmtId="0" fontId="3" fillId="6" borderId="1" xfId="0" applyFont="1" applyFill="1" applyBorder="1"/>
    <xf numFmtId="0" fontId="3" fillId="4" borderId="1" xfId="0" applyFont="1" applyFill="1" applyBorder="1"/>
    <xf numFmtId="0" fontId="3" fillId="5" borderId="1" xfId="0" applyFont="1" applyFill="1" applyBorder="1"/>
    <xf numFmtId="0" fontId="19" fillId="0" borderId="0" xfId="0" applyFont="1" applyFill="1" applyBorder="1" applyAlignment="1">
      <alignment horizontal="right" indent="1"/>
    </xf>
    <xf numFmtId="0" fontId="3" fillId="0" borderId="1" xfId="0" applyFont="1" applyFill="1" applyBorder="1"/>
    <xf numFmtId="166" fontId="20" fillId="0" borderId="0" xfId="0" applyNumberFormat="1" applyFont="1" applyFill="1" applyBorder="1" applyAlignment="1">
      <alignment horizontal="center"/>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64" fontId="8" fillId="0" borderId="1" xfId="0" applyNumberFormat="1" applyFont="1" applyFill="1" applyBorder="1" applyAlignment="1">
      <alignment horizontal="right" vertical="center" wrapText="1" indent="1"/>
    </xf>
    <xf numFmtId="170" fontId="22" fillId="0" borderId="0" xfId="4" applyNumberFormat="1" applyFont="1" applyFill="1" applyBorder="1" applyAlignment="1">
      <alignment horizontal="right"/>
    </xf>
    <xf numFmtId="164" fontId="8" fillId="0" borderId="1" xfId="0" applyNumberFormat="1" applyFont="1" applyFill="1" applyBorder="1" applyAlignment="1">
      <alignment horizontal="right" vertical="center" wrapText="1"/>
    </xf>
    <xf numFmtId="0" fontId="3" fillId="0" borderId="0" xfId="0" applyFont="1" applyFill="1" applyBorder="1" applyAlignment="1">
      <alignment vertical="center"/>
    </xf>
    <xf numFmtId="0" fontId="7" fillId="7"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7" borderId="0" xfId="0" applyFont="1" applyFill="1" applyBorder="1"/>
    <xf numFmtId="2" fontId="3" fillId="0" borderId="0" xfId="0" applyNumberFormat="1" applyFont="1" applyFill="1" applyBorder="1"/>
    <xf numFmtId="169" fontId="3" fillId="5" borderId="16" xfId="0" applyNumberFormat="1" applyFont="1" applyFill="1" applyBorder="1" applyAlignment="1">
      <alignment horizontal="center" vertical="center"/>
    </xf>
    <xf numFmtId="171" fontId="3" fillId="0" borderId="0" xfId="0" applyNumberFormat="1" applyFont="1" applyFill="1" applyBorder="1"/>
    <xf numFmtId="0" fontId="23" fillId="0" borderId="0" xfId="0" applyFont="1" applyFill="1" applyBorder="1"/>
    <xf numFmtId="0" fontId="24" fillId="0" borderId="0" xfId="0" applyFont="1" applyFill="1" applyBorder="1" applyAlignment="1">
      <alignment vertical="center"/>
    </xf>
    <xf numFmtId="0" fontId="6" fillId="4"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4" borderId="26" xfId="0" applyFont="1" applyFill="1" applyBorder="1" applyAlignment="1">
      <alignment horizontal="center" vertical="center" wrapText="1"/>
    </xf>
    <xf numFmtId="0" fontId="26" fillId="0" borderId="0" xfId="0" applyFont="1" applyFill="1" applyBorder="1"/>
    <xf numFmtId="0" fontId="3" fillId="0" borderId="0" xfId="0" applyFont="1" applyFill="1" applyBorder="1" applyAlignment="1">
      <alignment horizontal="right"/>
    </xf>
    <xf numFmtId="0" fontId="3" fillId="0" borderId="0" xfId="0" quotePrefix="1" applyFont="1" applyFill="1" applyBorder="1" applyAlignment="1">
      <alignment horizontal="right"/>
    </xf>
    <xf numFmtId="173" fontId="8" fillId="4" borderId="1" xfId="0" applyNumberFormat="1" applyFont="1" applyFill="1" applyBorder="1" applyAlignment="1">
      <alignment horizontal="center"/>
    </xf>
    <xf numFmtId="173" fontId="8" fillId="5" borderId="1" xfId="0" applyNumberFormat="1"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4"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8" fillId="4" borderId="15" xfId="0" applyNumberFormat="1"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3" fillId="0" borderId="0" xfId="0" applyNumberFormat="1" applyFont="1" applyFill="1" applyBorder="1"/>
    <xf numFmtId="0" fontId="3" fillId="4" borderId="15" xfId="0" applyFont="1" applyFill="1" applyBorder="1" applyAlignment="1">
      <alignment horizontal="center" vertical="center"/>
    </xf>
    <xf numFmtId="0" fontId="8" fillId="5" borderId="16" xfId="0" applyFont="1" applyFill="1" applyBorder="1" applyAlignment="1">
      <alignment horizontal="center" vertical="center"/>
    </xf>
    <xf numFmtId="169" fontId="16" fillId="0" borderId="0" xfId="0" applyNumberFormat="1" applyFont="1" applyFill="1" applyBorder="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16" fillId="0" borderId="0" xfId="0" applyFont="1" applyFill="1" applyBorder="1" applyAlignment="1">
      <alignment horizontal="right"/>
    </xf>
    <xf numFmtId="164" fontId="8" fillId="5" borderId="1" xfId="0" applyNumberFormat="1" applyFont="1" applyFill="1" applyBorder="1" applyAlignment="1">
      <alignment horizontal="center"/>
    </xf>
    <xf numFmtId="0" fontId="8" fillId="0" borderId="0" xfId="0" applyFont="1" applyFill="1" applyBorder="1" applyAlignment="1">
      <alignment horizontal="right"/>
    </xf>
    <xf numFmtId="0" fontId="8" fillId="0" borderId="0" xfId="0" applyFont="1" applyFill="1" applyBorder="1" applyAlignment="1">
      <alignment horizontal="right" wrapText="1"/>
    </xf>
    <xf numFmtId="164" fontId="3" fillId="0" borderId="28" xfId="0" applyNumberFormat="1" applyFont="1" applyFill="1" applyBorder="1" applyAlignment="1">
      <alignment horizontal="center"/>
    </xf>
    <xf numFmtId="164" fontId="3" fillId="0" borderId="30" xfId="0" applyNumberFormat="1" applyFont="1" applyFill="1" applyBorder="1" applyAlignment="1">
      <alignment horizontal="center"/>
    </xf>
    <xf numFmtId="164" fontId="3" fillId="0" borderId="31" xfId="0" applyNumberFormat="1" applyFont="1" applyFill="1" applyBorder="1" applyAlignment="1">
      <alignment horizontal="center"/>
    </xf>
    <xf numFmtId="164" fontId="3" fillId="0" borderId="32" xfId="0" applyNumberFormat="1" applyFont="1" applyFill="1" applyBorder="1" applyAlignment="1">
      <alignment horizontal="center"/>
    </xf>
    <xf numFmtId="0" fontId="6" fillId="4" borderId="1" xfId="0" applyFont="1" applyFill="1" applyBorder="1" applyAlignment="1">
      <alignment horizontal="center" vertical="center" wrapText="1"/>
    </xf>
    <xf numFmtId="166" fontId="8" fillId="4" borderId="1" xfId="0" applyNumberFormat="1" applyFont="1" applyFill="1" applyBorder="1" applyAlignment="1">
      <alignment horizontal="center"/>
    </xf>
    <xf numFmtId="166" fontId="8" fillId="5" borderId="1" xfId="0" applyNumberFormat="1" applyFont="1" applyFill="1" applyBorder="1" applyAlignment="1">
      <alignment horizontal="center"/>
    </xf>
    <xf numFmtId="168" fontId="3" fillId="0" borderId="0" xfId="0" applyNumberFormat="1" applyFont="1" applyFill="1" applyBorder="1" applyAlignment="1">
      <alignment horizontal="center"/>
    </xf>
    <xf numFmtId="0" fontId="3" fillId="0" borderId="0" xfId="0" applyFont="1" applyFill="1" applyBorder="1" applyAlignment="1">
      <alignment horizontal="left" wrapText="1"/>
    </xf>
    <xf numFmtId="0" fontId="8" fillId="4" borderId="15" xfId="0" applyFont="1" applyFill="1" applyBorder="1" applyAlignment="1">
      <alignment horizontal="center" vertical="center" wrapText="1"/>
    </xf>
    <xf numFmtId="0" fontId="3" fillId="0" borderId="13" xfId="0" applyFont="1" applyFill="1" applyBorder="1" applyAlignment="1">
      <alignment horizontal="center" wrapText="1"/>
    </xf>
    <xf numFmtId="0" fontId="8" fillId="4" borderId="22" xfId="0" applyFont="1" applyFill="1" applyBorder="1" applyAlignment="1">
      <alignment horizontal="center" vertical="center" wrapText="1"/>
    </xf>
    <xf numFmtId="0" fontId="3" fillId="5" borderId="39" xfId="0" applyFont="1" applyFill="1" applyBorder="1" applyAlignment="1">
      <alignment horizontal="center" vertical="top" wrapText="1"/>
    </xf>
    <xf numFmtId="0" fontId="3" fillId="4" borderId="36" xfId="0" applyFont="1" applyFill="1" applyBorder="1" applyAlignment="1">
      <alignment horizontal="center" wrapText="1"/>
    </xf>
    <xf numFmtId="0" fontId="31"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8" fillId="0" borderId="22" xfId="0" applyNumberFormat="1" applyFont="1" applyFill="1" applyBorder="1" applyAlignment="1">
      <alignment vertical="center"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164" fontId="8" fillId="4" borderId="22" xfId="0" applyNumberFormat="1" applyFont="1" applyFill="1" applyBorder="1" applyAlignment="1">
      <alignment vertical="center"/>
    </xf>
    <xf numFmtId="164" fontId="8" fillId="4" borderId="23" xfId="0" applyNumberFormat="1" applyFont="1" applyFill="1" applyBorder="1" applyAlignment="1">
      <alignment vertical="center" wrapText="1"/>
    </xf>
    <xf numFmtId="1" fontId="3" fillId="4" borderId="36" xfId="0" applyNumberFormat="1" applyFont="1" applyFill="1" applyBorder="1" applyAlignment="1">
      <alignment horizontal="center" vertical="center" wrapText="1"/>
    </xf>
    <xf numFmtId="0" fontId="6" fillId="5"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169" fontId="3" fillId="5" borderId="38" xfId="0" applyNumberFormat="1" applyFont="1" applyFill="1" applyBorder="1" applyAlignment="1">
      <alignment horizontal="center" vertical="center" wrapText="1"/>
    </xf>
    <xf numFmtId="0" fontId="3" fillId="3" borderId="13" xfId="0" applyFont="1" applyFill="1" applyBorder="1" applyAlignment="1">
      <alignment vertical="top" wrapText="1"/>
    </xf>
    <xf numFmtId="0" fontId="3" fillId="3" borderId="1" xfId="0" applyFont="1" applyFill="1" applyBorder="1" applyAlignment="1">
      <alignment horizontal="left" vertical="top" wrapText="1"/>
    </xf>
    <xf numFmtId="0" fontId="32" fillId="0" borderId="0" xfId="0" applyFont="1" applyFill="1" applyBorder="1"/>
    <xf numFmtId="0" fontId="3" fillId="0" borderId="1" xfId="0" applyFont="1" applyFill="1" applyBorder="1" applyAlignment="1">
      <alignment horizontal="left" vertical="center" wrapText="1"/>
    </xf>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8" fillId="0" borderId="22" xfId="0" applyFont="1" applyFill="1" applyBorder="1" applyAlignment="1">
      <alignment vertical="center"/>
    </xf>
    <xf numFmtId="0" fontId="26" fillId="0" borderId="0" xfId="0" applyFont="1" applyFill="1" applyBorder="1" applyAlignment="1">
      <alignment wrapText="1"/>
    </xf>
    <xf numFmtId="0" fontId="26" fillId="0" borderId="45" xfId="0" applyFont="1" applyFill="1" applyBorder="1" applyAlignment="1">
      <alignment wrapText="1"/>
    </xf>
    <xf numFmtId="0" fontId="26" fillId="0" borderId="0" xfId="0" applyFont="1" applyFill="1" applyBorder="1" applyAlignment="1">
      <alignment vertical="top" wrapText="1"/>
    </xf>
    <xf numFmtId="1" fontId="30" fillId="5" borderId="18" xfId="0" applyNumberFormat="1" applyFont="1" applyFill="1" applyBorder="1" applyAlignment="1">
      <alignment horizontal="center" vertical="center" wrapText="1"/>
    </xf>
    <xf numFmtId="0" fontId="29"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169" fontId="6" fillId="5" borderId="16" xfId="0" applyNumberFormat="1" applyFont="1" applyFill="1" applyBorder="1" applyAlignment="1">
      <alignment horizontal="center" vertical="center"/>
    </xf>
    <xf numFmtId="169" fontId="29" fillId="5"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169" fontId="6" fillId="5" borderId="27" xfId="0" applyNumberFormat="1" applyFont="1" applyFill="1" applyBorder="1" applyAlignment="1">
      <alignment horizontal="center" vertical="center"/>
    </xf>
    <xf numFmtId="1" fontId="3" fillId="5" borderId="38" xfId="0" applyNumberFormat="1" applyFont="1" applyFill="1" applyBorder="1" applyAlignment="1">
      <alignment horizontal="center" vertical="center" wrapText="1"/>
    </xf>
    <xf numFmtId="0" fontId="29" fillId="4" borderId="17" xfId="0" applyFont="1" applyFill="1" applyBorder="1" applyAlignment="1">
      <alignment horizontal="center" vertical="center" wrapText="1"/>
    </xf>
    <xf numFmtId="0" fontId="6" fillId="5" borderId="14" xfId="0" applyFont="1" applyFill="1" applyBorder="1" applyAlignment="1">
      <alignment horizontal="center" vertical="center" wrapText="1"/>
    </xf>
    <xf numFmtId="169" fontId="30" fillId="5" borderId="18" xfId="0" applyNumberFormat="1" applyFont="1" applyFill="1" applyBorder="1" applyAlignment="1">
      <alignment horizontal="center" vertical="center" wrapText="1"/>
    </xf>
    <xf numFmtId="169" fontId="30" fillId="5" borderId="18" xfId="0" applyNumberFormat="1" applyFont="1" applyFill="1" applyBorder="1" applyAlignment="1">
      <alignment horizontal="center" vertical="center"/>
    </xf>
    <xf numFmtId="0" fontId="3" fillId="3" borderId="13" xfId="0" applyFont="1" applyFill="1" applyBorder="1" applyAlignment="1">
      <alignment horizontal="left" wrapText="1"/>
    </xf>
    <xf numFmtId="0" fontId="3" fillId="4" borderId="1" xfId="0" applyFont="1" applyFill="1" applyBorder="1" applyAlignment="1">
      <alignment horizontal="center" vertical="center"/>
    </xf>
    <xf numFmtId="0" fontId="3" fillId="5" borderId="14" xfId="0" applyFont="1" applyFill="1" applyBorder="1" applyAlignment="1">
      <alignment horizontal="center" vertical="center"/>
    </xf>
    <xf numFmtId="164" fontId="3" fillId="0" borderId="29" xfId="0" applyNumberFormat="1" applyFont="1" applyFill="1" applyBorder="1" applyAlignment="1">
      <alignment horizontal="center"/>
    </xf>
    <xf numFmtId="1" fontId="8" fillId="4" borderId="36" xfId="0" applyNumberFormat="1" applyFont="1" applyFill="1" applyBorder="1" applyAlignment="1">
      <alignment horizontal="center" vertical="center" wrapText="1"/>
    </xf>
    <xf numFmtId="1" fontId="8" fillId="5" borderId="38"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0" fillId="0" borderId="0" xfId="0" applyFont="1" applyFill="1" applyBorder="1"/>
    <xf numFmtId="1" fontId="30" fillId="4" borderId="17" xfId="0" applyNumberFormat="1" applyFont="1" applyFill="1" applyBorder="1" applyAlignment="1">
      <alignment horizontal="center" vertical="center" wrapText="1"/>
    </xf>
    <xf numFmtId="172" fontId="31" fillId="5" borderId="18" xfId="0" applyNumberFormat="1" applyFont="1" applyFill="1" applyBorder="1" applyAlignment="1">
      <alignment horizontal="center" vertical="center" wrapText="1"/>
    </xf>
    <xf numFmtId="1" fontId="34" fillId="0" borderId="0" xfId="0" applyNumberFormat="1" applyFont="1" applyAlignment="1">
      <alignment horizontal="center"/>
    </xf>
    <xf numFmtId="0" fontId="28" fillId="0" borderId="0" xfId="0" applyFont="1"/>
    <xf numFmtId="0" fontId="6" fillId="4" borderId="36"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5" borderId="27" xfId="0" applyFont="1" applyFill="1" applyBorder="1" applyAlignment="1">
      <alignment horizontal="center" vertical="center" wrapText="1"/>
    </xf>
    <xf numFmtId="172" fontId="8" fillId="5" borderId="38" xfId="0" applyNumberFormat="1" applyFont="1" applyFill="1" applyBorder="1" applyAlignment="1">
      <alignment horizontal="center" wrapText="1"/>
    </xf>
    <xf numFmtId="1" fontId="3" fillId="4" borderId="36" xfId="0" applyNumberFormat="1" applyFont="1" applyFill="1" applyBorder="1" applyAlignment="1">
      <alignment horizontal="center" wrapText="1"/>
    </xf>
    <xf numFmtId="169" fontId="3" fillId="5" borderId="38" xfId="0" applyNumberFormat="1" applyFont="1" applyFill="1" applyBorder="1" applyAlignment="1">
      <alignment horizontal="center"/>
    </xf>
    <xf numFmtId="0" fontId="3" fillId="8" borderId="0" xfId="0" applyFont="1" applyFill="1" applyBorder="1"/>
    <xf numFmtId="0" fontId="3" fillId="8" borderId="15" xfId="0" applyFont="1" applyFill="1" applyBorder="1" applyAlignment="1">
      <alignment horizontal="right" wrapText="1" indent="1"/>
    </xf>
    <xf numFmtId="0" fontId="30" fillId="8" borderId="17" xfId="0" applyFont="1" applyFill="1" applyBorder="1" applyAlignment="1">
      <alignment horizontal="right" wrapText="1" indent="1"/>
    </xf>
    <xf numFmtId="0" fontId="30" fillId="8" borderId="17" xfId="0" applyFont="1" applyFill="1" applyBorder="1" applyAlignment="1">
      <alignment horizontal="justify" vertical="top" wrapText="1"/>
    </xf>
    <xf numFmtId="0" fontId="31" fillId="8" borderId="17" xfId="0" applyFont="1" applyFill="1" applyBorder="1" applyAlignment="1">
      <alignment horizontal="justify" vertical="top" wrapText="1"/>
    </xf>
    <xf numFmtId="1" fontId="30" fillId="4" borderId="7" xfId="0" applyNumberFormat="1" applyFont="1" applyFill="1" applyBorder="1" applyAlignment="1">
      <alignment horizontal="center" vertical="center" wrapText="1"/>
    </xf>
    <xf numFmtId="1" fontId="31" fillId="4" borderId="17"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3" fillId="4" borderId="15" xfId="0" applyFont="1" applyFill="1" applyBorder="1" applyAlignment="1">
      <alignment horizontal="center" vertical="center" wrapText="1"/>
    </xf>
    <xf numFmtId="0" fontId="3" fillId="4" borderId="36" xfId="0" applyFont="1" applyFill="1" applyBorder="1" applyAlignment="1">
      <alignment horizontal="center" vertical="center" wrapText="1"/>
    </xf>
    <xf numFmtId="169" fontId="3" fillId="5" borderId="16" xfId="0" applyNumberFormat="1" applyFont="1" applyFill="1" applyBorder="1" applyAlignment="1">
      <alignment horizontal="center" vertical="center" wrapText="1"/>
    </xf>
    <xf numFmtId="169" fontId="30" fillId="4" borderId="36"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5" borderId="40" xfId="0" applyFont="1" applyFill="1" applyBorder="1" applyAlignment="1">
      <alignment horizontal="center" vertical="top" wrapText="1"/>
    </xf>
    <xf numFmtId="0" fontId="8" fillId="5" borderId="38" xfId="0" applyFont="1" applyFill="1" applyBorder="1" applyAlignment="1">
      <alignment horizontal="center" vertical="center"/>
    </xf>
    <xf numFmtId="0" fontId="8" fillId="0" borderId="1"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5" borderId="38" xfId="0" applyFont="1" applyFill="1" applyBorder="1" applyAlignment="1">
      <alignment horizontal="center" vertical="center"/>
    </xf>
    <xf numFmtId="0" fontId="8" fillId="5" borderId="16"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 fillId="4" borderId="36" xfId="0" applyFont="1" applyFill="1" applyBorder="1" applyAlignment="1">
      <alignment horizontal="center" vertical="top" wrapText="1"/>
    </xf>
    <xf numFmtId="0" fontId="30" fillId="4" borderId="36" xfId="0" applyFont="1" applyFill="1" applyBorder="1" applyAlignment="1">
      <alignment horizontal="center" vertical="top" wrapText="1"/>
    </xf>
    <xf numFmtId="0" fontId="30" fillId="5" borderId="40"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0" fillId="5" borderId="41"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0" applyFont="1" applyFill="1" applyBorder="1" applyAlignment="1">
      <alignment horizontal="center" vertical="top" wrapText="1"/>
    </xf>
    <xf numFmtId="0" fontId="3" fillId="5" borderId="38" xfId="0" applyFont="1" applyFill="1" applyBorder="1" applyAlignment="1">
      <alignment horizontal="center" vertical="top" wrapText="1"/>
    </xf>
    <xf numFmtId="0" fontId="35" fillId="0" borderId="0" xfId="0" applyFont="1" applyFill="1" applyBorder="1"/>
    <xf numFmtId="0" fontId="31" fillId="5" borderId="38" xfId="0" applyFont="1" applyFill="1" applyBorder="1" applyAlignment="1">
      <alignment horizontal="center" vertical="center"/>
    </xf>
    <xf numFmtId="169" fontId="30" fillId="4" borderId="17" xfId="0" applyNumberFormat="1" applyFont="1" applyFill="1" applyBorder="1" applyAlignment="1">
      <alignment horizontal="center" vertical="center"/>
    </xf>
    <xf numFmtId="0" fontId="3" fillId="8" borderId="2"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center" wrapText="1"/>
    </xf>
    <xf numFmtId="0" fontId="3" fillId="8" borderId="6" xfId="0" applyFont="1" applyFill="1" applyBorder="1" applyAlignment="1">
      <alignment vertical="top" wrapText="1"/>
    </xf>
    <xf numFmtId="0" fontId="3" fillId="8" borderId="7" xfId="0" applyFont="1" applyFill="1" applyBorder="1" applyAlignment="1">
      <alignment vertical="top" wrapText="1"/>
    </xf>
    <xf numFmtId="0" fontId="3" fillId="8" borderId="9" xfId="0" applyFont="1" applyFill="1" applyBorder="1" applyAlignment="1">
      <alignment vertical="top" wrapText="1"/>
    </xf>
    <xf numFmtId="0" fontId="3" fillId="8" borderId="5" xfId="0" applyFont="1" applyFill="1" applyBorder="1" applyAlignment="1">
      <alignment vertical="top" wrapText="1"/>
    </xf>
    <xf numFmtId="169" fontId="30" fillId="4" borderId="17" xfId="0" applyNumberFormat="1" applyFont="1" applyFill="1" applyBorder="1" applyAlignment="1">
      <alignment horizontal="center" vertical="top" wrapText="1"/>
    </xf>
    <xf numFmtId="0" fontId="31" fillId="5" borderId="38" xfId="0" applyFont="1" applyFill="1" applyBorder="1" applyAlignment="1">
      <alignment horizontal="center" vertical="top" wrapText="1"/>
    </xf>
    <xf numFmtId="0" fontId="30" fillId="8" borderId="17" xfId="0" applyFont="1" applyFill="1" applyBorder="1" applyAlignment="1">
      <alignment vertical="top" wrapText="1"/>
    </xf>
    <xf numFmtId="0" fontId="8" fillId="8" borderId="15" xfId="0" applyFont="1" applyFill="1" applyBorder="1" applyAlignment="1">
      <alignment vertical="top" wrapText="1"/>
    </xf>
    <xf numFmtId="0" fontId="31" fillId="8" borderId="7" xfId="0" applyFont="1" applyFill="1" applyBorder="1" applyAlignment="1">
      <alignment vertical="top" wrapText="1"/>
    </xf>
    <xf numFmtId="0" fontId="31" fillId="8" borderId="36" xfId="0" applyFont="1" applyFill="1" applyBorder="1" applyAlignment="1">
      <alignment vertical="top" wrapText="1"/>
    </xf>
    <xf numFmtId="0" fontId="30" fillId="5" borderId="4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0" fillId="0" borderId="0" xfId="0" applyFont="1" applyFill="1" applyBorder="1" applyAlignment="1">
      <alignment horizontal="right" indent="1"/>
    </xf>
    <xf numFmtId="166" fontId="30" fillId="0" borderId="5" xfId="0" applyNumberFormat="1" applyFont="1" applyFill="1" applyBorder="1" applyAlignment="1"/>
    <xf numFmtId="0" fontId="33" fillId="0" borderId="5" xfId="0" applyFont="1" applyFill="1" applyBorder="1" applyAlignment="1"/>
    <xf numFmtId="0" fontId="8" fillId="5" borderId="38" xfId="0" applyFont="1" applyFill="1" applyBorder="1" applyAlignment="1">
      <alignment horizontal="center" vertical="center" wrapText="1"/>
    </xf>
    <xf numFmtId="0" fontId="3" fillId="4" borderId="36" xfId="0" applyFont="1" applyFill="1" applyBorder="1" applyAlignment="1">
      <alignment horizontal="center" vertical="center"/>
    </xf>
    <xf numFmtId="0" fontId="3" fillId="8" borderId="37" xfId="0" applyFont="1" applyFill="1" applyBorder="1" applyAlignment="1">
      <alignment horizontal="right" vertical="top" wrapText="1" indent="1"/>
    </xf>
    <xf numFmtId="0" fontId="31" fillId="8" borderId="20" xfId="0" applyFont="1" applyFill="1" applyBorder="1" applyAlignment="1">
      <alignment horizontal="right" vertical="top" wrapText="1" indent="1"/>
    </xf>
    <xf numFmtId="0" fontId="30" fillId="8" borderId="42" xfId="0" applyFont="1" applyFill="1" applyBorder="1" applyAlignment="1">
      <alignment horizontal="right" vertical="top" wrapText="1" indent="1"/>
    </xf>
    <xf numFmtId="0" fontId="8" fillId="8" borderId="19" xfId="0" applyFont="1" applyFill="1" applyBorder="1" applyAlignment="1">
      <alignment horizontal="right" vertical="top" wrapText="1" indent="1"/>
    </xf>
    <xf numFmtId="0" fontId="30" fillId="4" borderId="26"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 fillId="8" borderId="19" xfId="0" applyFont="1" applyFill="1" applyBorder="1" applyAlignment="1">
      <alignment horizontal="right" vertical="top" wrapText="1" indent="1"/>
    </xf>
    <xf numFmtId="0" fontId="30" fillId="8" borderId="20" xfId="0" applyFont="1" applyFill="1" applyBorder="1" applyAlignment="1">
      <alignment horizontal="right" vertical="top" wrapText="1" indent="1"/>
    </xf>
    <xf numFmtId="0" fontId="30" fillId="0" borderId="0" xfId="0" applyFont="1" applyFill="1" applyBorder="1" applyAlignment="1">
      <alignment horizontal="left"/>
    </xf>
    <xf numFmtId="0" fontId="3"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8" borderId="15" xfId="0" applyFont="1" applyFill="1" applyBorder="1" applyAlignment="1">
      <alignment horizontal="justify" vertical="top" wrapTex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20" xfId="0" applyFont="1" applyFill="1" applyBorder="1" applyAlignment="1">
      <alignment horizontal="center" vertical="top"/>
    </xf>
    <xf numFmtId="164" fontId="8" fillId="4"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8"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6" fillId="0" borderId="0" xfId="0" applyFont="1"/>
    <xf numFmtId="0" fontId="37" fillId="0" borderId="0" xfId="1" applyFont="1" applyFill="1" applyBorder="1" applyAlignment="1" applyProtection="1"/>
    <xf numFmtId="0" fontId="37" fillId="0" borderId="0" xfId="1" applyFont="1" applyFill="1" applyBorder="1"/>
    <xf numFmtId="0" fontId="26" fillId="0" borderId="0" xfId="0" applyFont="1" applyBorder="1" applyAlignment="1">
      <alignment wrapText="1"/>
    </xf>
    <xf numFmtId="0" fontId="32" fillId="0" borderId="0" xfId="0" applyFont="1" applyBorder="1" applyAlignment="1">
      <alignment horizontal="left" wrapText="1"/>
    </xf>
    <xf numFmtId="0" fontId="35" fillId="0" borderId="0" xfId="0" applyFont="1" applyFill="1"/>
    <xf numFmtId="1" fontId="35" fillId="0" borderId="0" xfId="0" applyNumberFormat="1" applyFont="1" applyFill="1" applyAlignment="1">
      <alignment horizontal="center"/>
    </xf>
    <xf numFmtId="0" fontId="36" fillId="0" borderId="0" xfId="0" applyFont="1" applyFill="1"/>
    <xf numFmtId="164" fontId="36" fillId="0" borderId="1" xfId="0" applyNumberFormat="1" applyFont="1" applyFill="1" applyBorder="1" applyAlignment="1">
      <alignment horizontal="right" vertical="center" indent="1"/>
    </xf>
    <xf numFmtId="0" fontId="9" fillId="0" borderId="0" xfId="3" applyFont="1" applyFill="1" applyBorder="1"/>
    <xf numFmtId="166" fontId="36" fillId="0" borderId="0" xfId="0" applyNumberFormat="1" applyFont="1"/>
    <xf numFmtId="169" fontId="36" fillId="0" borderId="0" xfId="0" applyNumberFormat="1" applyFont="1"/>
    <xf numFmtId="0" fontId="30" fillId="0" borderId="0" xfId="0" applyFont="1" applyFill="1" applyBorder="1" applyAlignment="1"/>
    <xf numFmtId="0" fontId="6" fillId="2" borderId="25" xfId="0" applyFont="1" applyFill="1" applyBorder="1" applyAlignment="1">
      <alignment horizontal="left" vertical="center"/>
    </xf>
    <xf numFmtId="0" fontId="14" fillId="2" borderId="23" xfId="0" applyFont="1" applyFill="1" applyBorder="1" applyAlignment="1">
      <alignment horizontal="left" vertical="center"/>
    </xf>
    <xf numFmtId="0" fontId="3" fillId="5" borderId="16" xfId="0" applyFont="1" applyFill="1" applyBorder="1" applyAlignment="1">
      <alignment horizontal="center" vertical="top" wrapText="1"/>
    </xf>
    <xf numFmtId="0" fontId="30" fillId="5" borderId="38" xfId="0" applyFont="1" applyFill="1" applyBorder="1" applyAlignment="1">
      <alignment horizontal="center" vertical="top" wrapText="1"/>
    </xf>
    <xf numFmtId="0" fontId="30" fillId="5" borderId="18" xfId="0" applyFont="1" applyFill="1" applyBorder="1" applyAlignment="1">
      <alignment horizontal="center" vertical="top" wrapText="1"/>
    </xf>
    <xf numFmtId="0" fontId="13" fillId="0" borderId="2" xfId="0" applyFont="1" applyBorder="1"/>
    <xf numFmtId="0" fontId="13" fillId="0" borderId="3" xfId="0" applyFont="1" applyBorder="1"/>
    <xf numFmtId="0" fontId="36" fillId="0" borderId="4" xfId="0" applyFont="1" applyBorder="1"/>
    <xf numFmtId="0" fontId="38" fillId="2" borderId="6" xfId="0" applyFont="1" applyFill="1" applyBorder="1" applyAlignment="1">
      <alignment horizontal="left" indent="2"/>
    </xf>
    <xf numFmtId="0" fontId="13" fillId="0" borderId="5" xfId="0" applyFont="1" applyBorder="1"/>
    <xf numFmtId="0" fontId="13" fillId="0" borderId="0" xfId="0" applyFont="1" applyBorder="1"/>
    <xf numFmtId="0" fontId="36" fillId="0" borderId="6" xfId="0" applyFont="1" applyBorder="1"/>
    <xf numFmtId="0" fontId="39" fillId="0" borderId="6" xfId="0" applyFont="1" applyBorder="1" applyAlignment="1"/>
    <xf numFmtId="14" fontId="36" fillId="0" borderId="0" xfId="0" applyNumberFormat="1" applyFont="1"/>
    <xf numFmtId="0" fontId="40" fillId="2" borderId="6" xfId="0" applyFont="1" applyFill="1" applyBorder="1" applyAlignment="1"/>
    <xf numFmtId="0" fontId="13" fillId="0" borderId="0" xfId="1" applyFont="1" applyBorder="1" applyAlignment="1" applyProtection="1">
      <alignment horizontal="justify" vertical="top" wrapText="1"/>
    </xf>
    <xf numFmtId="0" fontId="39" fillId="0" borderId="6" xfId="1" applyFont="1" applyBorder="1" applyAlignment="1" applyProtection="1">
      <alignment horizontal="justify" vertical="top" wrapText="1"/>
    </xf>
    <xf numFmtId="0" fontId="43" fillId="2" borderId="6" xfId="0" applyFont="1" applyFill="1" applyBorder="1" applyAlignment="1"/>
    <xf numFmtId="0" fontId="4" fillId="0" borderId="0" xfId="1" applyFont="1" applyBorder="1" applyAlignment="1" applyProtection="1"/>
    <xf numFmtId="0" fontId="41" fillId="0" borderId="5" xfId="0" applyFont="1" applyBorder="1"/>
    <xf numFmtId="0" fontId="44" fillId="0" borderId="0" xfId="1" applyFont="1" applyBorder="1" applyAlignment="1" applyProtection="1"/>
    <xf numFmtId="0" fontId="13" fillId="0" borderId="6" xfId="0" applyFont="1" applyBorder="1"/>
    <xf numFmtId="0" fontId="13" fillId="0" borderId="7" xfId="0" applyFont="1" applyBorder="1"/>
    <xf numFmtId="0" fontId="13" fillId="0" borderId="8" xfId="0" applyFont="1" applyBorder="1"/>
    <xf numFmtId="0" fontId="36" fillId="0" borderId="9" xfId="0" applyFont="1" applyBorder="1"/>
    <xf numFmtId="0" fontId="13" fillId="0" borderId="0" xfId="0" applyFont="1"/>
    <xf numFmtId="0" fontId="37" fillId="0" borderId="0" xfId="1" applyFont="1" applyBorder="1" applyAlignment="1" applyProtection="1">
      <alignment horizontal="left" indent="2"/>
    </xf>
    <xf numFmtId="0" fontId="36" fillId="9" borderId="22" xfId="0" applyFont="1" applyFill="1" applyBorder="1" applyAlignment="1">
      <alignment horizontal="center"/>
    </xf>
    <xf numFmtId="0" fontId="36" fillId="9" borderId="25" xfId="0" applyFont="1" applyFill="1" applyBorder="1" applyAlignment="1">
      <alignment horizontal="center"/>
    </xf>
    <xf numFmtId="0" fontId="36" fillId="9" borderId="23" xfId="0" applyFont="1" applyFill="1" applyBorder="1" applyAlignment="1">
      <alignment horizontal="center"/>
    </xf>
    <xf numFmtId="0" fontId="38" fillId="2" borderId="5" xfId="0" applyFont="1" applyFill="1" applyBorder="1" applyAlignment="1">
      <alignment horizontal="left" wrapText="1" indent="2"/>
    </xf>
    <xf numFmtId="0" fontId="38" fillId="2" borderId="0" xfId="0" applyFont="1" applyFill="1" applyBorder="1" applyAlignment="1">
      <alignment horizontal="left" wrapText="1" indent="2"/>
    </xf>
    <xf numFmtId="0" fontId="45" fillId="0" borderId="5" xfId="0" applyFont="1" applyFill="1" applyBorder="1" applyAlignment="1">
      <alignment horizontal="center"/>
    </xf>
    <xf numFmtId="0" fontId="45" fillId="0" borderId="0" xfId="0" applyFont="1" applyFill="1" applyBorder="1" applyAlignment="1">
      <alignment horizontal="center"/>
    </xf>
    <xf numFmtId="0" fontId="38" fillId="2" borderId="5" xfId="0" applyFont="1" applyFill="1" applyBorder="1" applyAlignment="1">
      <alignment horizontal="left" indent="2"/>
    </xf>
    <xf numFmtId="0" fontId="38" fillId="2" borderId="0" xfId="0" applyFont="1" applyFill="1" applyBorder="1" applyAlignment="1">
      <alignment horizontal="left" indent="2"/>
    </xf>
    <xf numFmtId="0" fontId="6" fillId="3" borderId="13" xfId="0" applyFont="1" applyFill="1" applyBorder="1" applyAlignment="1">
      <alignment horizontal="right" vertical="top" wrapText="1" indent="2"/>
    </xf>
    <xf numFmtId="0" fontId="6" fillId="3" borderId="1" xfId="0" applyFont="1" applyFill="1" applyBorder="1" applyAlignment="1">
      <alignment horizontal="right" vertical="top" wrapText="1" indent="2"/>
    </xf>
    <xf numFmtId="0" fontId="6" fillId="3" borderId="14" xfId="0" applyFont="1" applyFill="1" applyBorder="1" applyAlignment="1">
      <alignment horizontal="right" vertical="top" wrapText="1" indent="2"/>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5" borderId="22" xfId="0" applyFont="1" applyFill="1" applyBorder="1" applyAlignment="1">
      <alignment horizontal="center" wrapText="1"/>
    </xf>
    <xf numFmtId="0" fontId="3" fillId="5" borderId="23" xfId="0" applyFont="1" applyFill="1" applyBorder="1" applyAlignment="1">
      <alignment horizontal="center" wrapText="1"/>
    </xf>
    <xf numFmtId="0" fontId="3" fillId="8" borderId="19" xfId="0" applyFont="1" applyFill="1" applyBorder="1" applyAlignment="1">
      <alignment horizontal="left" vertical="top" wrapText="1"/>
    </xf>
    <xf numFmtId="0" fontId="3" fillId="8" borderId="37" xfId="0" applyFont="1" applyFill="1" applyBorder="1" applyAlignment="1">
      <alignment horizontal="left" vertical="top" wrapText="1"/>
    </xf>
    <xf numFmtId="0" fontId="30" fillId="8" borderId="37" xfId="0" applyFont="1" applyFill="1" applyBorder="1" applyAlignment="1">
      <alignment horizontal="left" vertical="top" wrapText="1"/>
    </xf>
    <xf numFmtId="0" fontId="30" fillId="8" borderId="20" xfId="0" applyFont="1" applyFill="1" applyBorder="1" applyAlignment="1">
      <alignment horizontal="left" vertical="top" wrapText="1"/>
    </xf>
    <xf numFmtId="0" fontId="8" fillId="8" borderId="2" xfId="0" applyFont="1" applyFill="1" applyBorder="1" applyAlignment="1">
      <alignment horizontal="center" vertical="top" wrapText="1"/>
    </xf>
    <xf numFmtId="0" fontId="8" fillId="8" borderId="39" xfId="0" applyFont="1" applyFill="1" applyBorder="1" applyAlignment="1">
      <alignment horizontal="center" vertical="top" wrapText="1"/>
    </xf>
    <xf numFmtId="0" fontId="3" fillId="8" borderId="13" xfId="0" applyFont="1" applyFill="1" applyBorder="1" applyAlignment="1">
      <alignment horizontal="right" vertical="top" wrapText="1" indent="1"/>
    </xf>
    <xf numFmtId="0" fontId="3" fillId="8" borderId="19" xfId="0" applyFont="1" applyFill="1" applyBorder="1" applyAlignment="1">
      <alignment horizontal="right" vertical="top" wrapText="1" inden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3" fillId="0" borderId="22" xfId="0" applyFont="1" applyFill="1" applyBorder="1" applyAlignment="1">
      <alignment horizontal="center" wrapText="1"/>
    </xf>
    <xf numFmtId="0" fontId="3" fillId="0" borderId="35" xfId="0" applyFont="1" applyFill="1" applyBorder="1" applyAlignment="1">
      <alignment horizontal="center" wrapText="1"/>
    </xf>
    <xf numFmtId="0" fontId="30" fillId="8" borderId="20" xfId="0" applyFont="1" applyFill="1" applyBorder="1" applyAlignment="1">
      <alignment horizontal="right" vertical="top" wrapText="1" indent="1"/>
    </xf>
    <xf numFmtId="0" fontId="30" fillId="8" borderId="13" xfId="0" applyFont="1" applyFill="1" applyBorder="1" applyAlignment="1">
      <alignment horizontal="right" vertical="top" wrapText="1" indent="1"/>
    </xf>
    <xf numFmtId="0" fontId="31" fillId="8" borderId="7" xfId="0" applyFont="1" applyFill="1" applyBorder="1" applyAlignment="1">
      <alignment horizontal="center" vertical="top" wrapText="1"/>
    </xf>
    <xf numFmtId="0" fontId="31" fillId="8" borderId="41" xfId="0" applyFont="1" applyFill="1" applyBorder="1" applyAlignment="1">
      <alignment horizontal="center" vertical="top" wrapText="1"/>
    </xf>
    <xf numFmtId="0" fontId="6" fillId="2" borderId="46"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30" fillId="0" borderId="0" xfId="0" applyFont="1" applyFill="1" applyBorder="1" applyAlignment="1">
      <alignment horizontal="left"/>
    </xf>
    <xf numFmtId="0" fontId="30" fillId="0" borderId="5" xfId="0" applyFont="1" applyFill="1" applyBorder="1" applyAlignment="1">
      <alignment horizontal="left"/>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15" xfId="0" applyFont="1" applyFill="1" applyBorder="1" applyAlignment="1">
      <alignment vertical="center" wrapText="1"/>
    </xf>
    <xf numFmtId="0" fontId="8" fillId="0" borderId="17" xfId="0" applyFont="1" applyFill="1" applyBorder="1" applyAlignment="1">
      <alignment vertical="center" wrapText="1"/>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 xfId="0" applyFont="1" applyFill="1" applyBorder="1" applyAlignment="1">
      <alignment vertical="center"/>
    </xf>
    <xf numFmtId="0" fontId="33" fillId="0" borderId="5" xfId="0" applyFont="1" applyFill="1" applyBorder="1" applyAlignment="1">
      <alignment horizontal="left"/>
    </xf>
    <xf numFmtId="0" fontId="33" fillId="0" borderId="0" xfId="0" applyFont="1" applyFill="1" applyBorder="1" applyAlignment="1">
      <alignment horizontal="left"/>
    </xf>
    <xf numFmtId="0" fontId="3"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0" fillId="0" borderId="5" xfId="0" applyFont="1" applyFill="1" applyBorder="1" applyAlignment="1">
      <alignment horizontal="left" wrapText="1"/>
    </xf>
    <xf numFmtId="0" fontId="30" fillId="0" borderId="0" xfId="0" applyFont="1" applyFill="1" applyBorder="1" applyAlignment="1">
      <alignment horizontal="left" wrapText="1"/>
    </xf>
    <xf numFmtId="0" fontId="31" fillId="0" borderId="25" xfId="0" applyFont="1" applyFill="1" applyBorder="1" applyAlignment="1">
      <alignment horizontal="center" vertical="center" wrapText="1"/>
    </xf>
    <xf numFmtId="0" fontId="8" fillId="0" borderId="17" xfId="0" applyFont="1" applyFill="1" applyBorder="1" applyAlignment="1">
      <alignment vertical="center"/>
    </xf>
    <xf numFmtId="0" fontId="6" fillId="2"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3" fillId="0" borderId="0" xfId="0" applyFont="1" applyFill="1" applyBorder="1" applyAlignment="1">
      <alignment horizontal="left"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5"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8" fillId="0" borderId="17" xfId="0" applyFont="1" applyFill="1" applyBorder="1" applyAlignment="1">
      <alignment horizontal="left" vertical="center" indent="1"/>
    </xf>
    <xf numFmtId="0" fontId="3" fillId="0" borderId="19" xfId="0" applyFont="1" applyFill="1" applyBorder="1" applyAlignment="1">
      <alignment horizontal="center" vertical="top"/>
    </xf>
    <xf numFmtId="0" fontId="3" fillId="0" borderId="37" xfId="0" applyFont="1" applyFill="1" applyBorder="1" applyAlignment="1">
      <alignment horizontal="center" vertical="top"/>
    </xf>
    <xf numFmtId="0" fontId="3" fillId="0" borderId="42" xfId="0" applyFont="1" applyFill="1" applyBorder="1" applyAlignment="1">
      <alignment horizontal="center" vertical="top"/>
    </xf>
    <xf numFmtId="0" fontId="8" fillId="8" borderId="15" xfId="0" applyFont="1" applyFill="1" applyBorder="1" applyAlignment="1">
      <alignment horizontal="justify" vertical="top" wrapText="1"/>
    </xf>
    <xf numFmtId="0" fontId="8" fillId="8" borderId="36" xfId="0" applyFont="1" applyFill="1" applyBorder="1" applyAlignment="1">
      <alignment horizontal="justify" vertical="top" wrapText="1"/>
    </xf>
    <xf numFmtId="0" fontId="8" fillId="0" borderId="1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3" fillId="0" borderId="20" xfId="0" applyFont="1" applyFill="1" applyBorder="1" applyAlignment="1">
      <alignment horizontal="center" vertical="top"/>
    </xf>
    <xf numFmtId="0" fontId="3" fillId="8" borderId="15" xfId="0" applyFont="1" applyFill="1" applyBorder="1" applyAlignment="1">
      <alignment horizontal="justify" vertical="top" wrapText="1"/>
    </xf>
    <xf numFmtId="0" fontId="3" fillId="8" borderId="36" xfId="0" applyFont="1" applyFill="1" applyBorder="1" applyAlignment="1">
      <alignment horizontal="justify" vertical="top" wrapText="1"/>
    </xf>
    <xf numFmtId="0" fontId="3" fillId="0" borderId="36" xfId="0" applyFont="1" applyFill="1" applyBorder="1" applyAlignment="1">
      <alignment horizontal="center" vertical="center" wrapText="1"/>
    </xf>
    <xf numFmtId="0" fontId="29" fillId="8" borderId="36" xfId="0" applyFont="1" applyFill="1" applyBorder="1" applyAlignment="1">
      <alignment horizontal="left" vertical="top" wrapText="1"/>
    </xf>
    <xf numFmtId="0" fontId="29" fillId="8" borderId="26" xfId="0" applyFont="1" applyFill="1" applyBorder="1" applyAlignment="1">
      <alignment horizontal="left" vertical="top" wrapText="1"/>
    </xf>
    <xf numFmtId="0" fontId="37" fillId="0" borderId="0" xfId="1" applyFont="1" applyFill="1" applyBorder="1" applyAlignment="1" applyProtection="1">
      <alignment horizontal="left"/>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xf>
    <xf numFmtId="0" fontId="3" fillId="0" borderId="48" xfId="0" applyFont="1" applyFill="1" applyBorder="1" applyAlignment="1">
      <alignment horizontal="right" vertical="center" wrapText="1"/>
    </xf>
    <xf numFmtId="0" fontId="3" fillId="0" borderId="25" xfId="0" applyFont="1" applyFill="1" applyBorder="1" applyAlignment="1">
      <alignment horizontal="right" vertical="center" wrapText="1"/>
    </xf>
    <xf numFmtId="0" fontId="3" fillId="0" borderId="23" xfId="0" applyFont="1" applyFill="1" applyBorder="1" applyAlignment="1">
      <alignment horizontal="right"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26" fillId="0" borderId="0" xfId="0" applyFont="1" applyFill="1" applyBorder="1" applyAlignment="1">
      <alignment horizontal="left" wrapText="1"/>
    </xf>
    <xf numFmtId="0" fontId="3" fillId="0" borderId="1" xfId="0" applyFont="1" applyFill="1" applyBorder="1" applyAlignment="1">
      <alignment horizontal="center"/>
    </xf>
    <xf numFmtId="173" fontId="8" fillId="0" borderId="1" xfId="0" applyNumberFormat="1" applyFont="1" applyFill="1" applyBorder="1" applyAlignment="1">
      <alignment horizontal="center"/>
    </xf>
    <xf numFmtId="0" fontId="3" fillId="8" borderId="2" xfId="0" applyFont="1" applyFill="1" applyBorder="1" applyAlignment="1">
      <alignment horizontal="center" wrapText="1"/>
    </xf>
    <xf numFmtId="0" fontId="3" fillId="8" borderId="39" xfId="0" applyFont="1" applyFill="1" applyBorder="1" applyAlignment="1">
      <alignment horizontal="center" wrapText="1"/>
    </xf>
    <xf numFmtId="173" fontId="3" fillId="0" borderId="1" xfId="0" applyNumberFormat="1" applyFont="1" applyFill="1" applyBorder="1" applyAlignment="1">
      <alignment horizontal="center"/>
    </xf>
    <xf numFmtId="0" fontId="6" fillId="8" borderId="15" xfId="0" applyFont="1" applyFill="1" applyBorder="1" applyAlignment="1">
      <alignment horizontal="justify" vertical="top" wrapText="1"/>
    </xf>
    <xf numFmtId="0" fontId="6" fillId="8" borderId="36" xfId="0" applyFont="1" applyFill="1" applyBorder="1" applyAlignment="1">
      <alignment horizontal="justify" vertical="top"/>
    </xf>
    <xf numFmtId="0" fontId="8" fillId="0" borderId="26" xfId="0" applyFont="1" applyFill="1" applyBorder="1" applyAlignment="1">
      <alignment horizontal="center" vertical="center" wrapText="1"/>
    </xf>
    <xf numFmtId="0" fontId="30" fillId="8" borderId="7" xfId="0" applyFont="1" applyFill="1" applyBorder="1" applyAlignment="1">
      <alignment horizontal="center" wrapText="1"/>
    </xf>
    <xf numFmtId="0" fontId="30" fillId="8" borderId="41" xfId="0" applyFont="1" applyFill="1" applyBorder="1" applyAlignment="1">
      <alignment horizontal="center" wrapText="1"/>
    </xf>
    <xf numFmtId="0" fontId="3" fillId="0" borderId="15" xfId="0" applyFont="1" applyFill="1" applyBorder="1" applyAlignment="1">
      <alignment horizontal="center"/>
    </xf>
    <xf numFmtId="0" fontId="3" fillId="0" borderId="17" xfId="0" applyFont="1" applyFill="1" applyBorder="1" applyAlignment="1">
      <alignment horizontal="center"/>
    </xf>
    <xf numFmtId="0" fontId="32" fillId="0" borderId="44" xfId="0" applyFont="1" applyFill="1" applyBorder="1" applyAlignment="1">
      <alignment horizontal="left" wrapText="1"/>
    </xf>
    <xf numFmtId="0" fontId="3" fillId="4" borderId="33" xfId="0" applyFont="1" applyFill="1" applyBorder="1" applyAlignment="1">
      <alignment horizontal="center" wrapText="1"/>
    </xf>
    <xf numFmtId="0" fontId="3" fillId="4" borderId="34"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6" borderId="22" xfId="0" applyFont="1" applyFill="1" applyBorder="1" applyAlignment="1">
      <alignment horizontal="center"/>
    </xf>
    <xf numFmtId="0" fontId="3" fillId="6" borderId="23" xfId="0" applyFont="1" applyFill="1" applyBorder="1" applyAlignment="1">
      <alignment horizontal="center"/>
    </xf>
    <xf numFmtId="2" fontId="3" fillId="4" borderId="33" xfId="0" applyNumberFormat="1" applyFont="1" applyFill="1" applyBorder="1" applyAlignment="1">
      <alignment horizontal="center" wrapText="1"/>
    </xf>
    <xf numFmtId="2" fontId="3" fillId="4" borderId="34" xfId="0" applyNumberFormat="1" applyFont="1" applyFill="1" applyBorder="1" applyAlignment="1">
      <alignment horizontal="center" wrapText="1"/>
    </xf>
    <xf numFmtId="2" fontId="3" fillId="6" borderId="22" xfId="0" applyNumberFormat="1" applyFont="1" applyFill="1" applyBorder="1" applyAlignment="1">
      <alignment horizontal="center"/>
    </xf>
    <xf numFmtId="2" fontId="3" fillId="6" borderId="23" xfId="0" applyNumberFormat="1" applyFont="1" applyFill="1" applyBorder="1" applyAlignment="1">
      <alignment horizontal="center"/>
    </xf>
    <xf numFmtId="164" fontId="3" fillId="0" borderId="15" xfId="0" applyNumberFormat="1" applyFont="1" applyFill="1" applyBorder="1" applyAlignment="1">
      <alignment horizontal="center"/>
    </xf>
    <xf numFmtId="164" fontId="8" fillId="4" borderId="1" xfId="0" applyNumberFormat="1" applyFont="1" applyFill="1" applyBorder="1" applyAlignment="1">
      <alignment horizontal="center"/>
    </xf>
    <xf numFmtId="0" fontId="26" fillId="0" borderId="45" xfId="0" applyFont="1" applyFill="1" applyBorder="1" applyAlignment="1">
      <alignment horizontal="left"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7" fillId="0" borderId="19" xfId="0" applyFont="1" applyFill="1" applyBorder="1" applyAlignment="1">
      <alignment horizontal="center" vertical="top"/>
    </xf>
    <xf numFmtId="0" fontId="17" fillId="0" borderId="37" xfId="0" applyFont="1" applyFill="1" applyBorder="1" applyAlignment="1">
      <alignment horizontal="center" vertical="top"/>
    </xf>
    <xf numFmtId="0" fontId="17" fillId="0" borderId="20" xfId="0" applyFont="1" applyFill="1" applyBorder="1" applyAlignment="1">
      <alignment horizontal="center" vertical="top"/>
    </xf>
    <xf numFmtId="0" fontId="17" fillId="0" borderId="13" xfId="0" applyFont="1" applyFill="1" applyBorder="1" applyAlignment="1">
      <alignment horizontal="center" vertical="top"/>
    </xf>
    <xf numFmtId="0" fontId="16" fillId="0" borderId="1" xfId="0" applyFont="1" applyFill="1" applyBorder="1" applyAlignment="1">
      <alignment horizontal="center" vertical="center" wrapText="1"/>
    </xf>
    <xf numFmtId="0" fontId="3" fillId="8" borderId="15" xfId="0" applyFont="1" applyFill="1" applyBorder="1" applyAlignment="1">
      <alignment horizontal="left" vertical="top" wrapText="1"/>
    </xf>
    <xf numFmtId="0" fontId="3" fillId="8" borderId="36" xfId="0" applyFont="1" applyFill="1" applyBorder="1" applyAlignment="1">
      <alignment horizontal="left" vertical="top" wrapText="1"/>
    </xf>
    <xf numFmtId="0" fontId="8" fillId="3" borderId="1" xfId="0" applyFont="1" applyFill="1" applyBorder="1" applyAlignment="1">
      <alignment horizontal="center" wrapText="1"/>
    </xf>
    <xf numFmtId="0" fontId="8" fillId="3" borderId="14" xfId="0"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9" fillId="8" borderId="17" xfId="0" applyFont="1" applyFill="1" applyBorder="1" applyAlignment="1">
      <alignment horizontal="left" vertical="top" wrapText="1"/>
    </xf>
    <xf numFmtId="0" fontId="30" fillId="8" borderId="36" xfId="0" applyFont="1" applyFill="1" applyBorder="1" applyAlignment="1">
      <alignment horizontal="left" vertical="top" wrapText="1"/>
    </xf>
    <xf numFmtId="0" fontId="30" fillId="8" borderId="17" xfId="0" applyFont="1" applyFill="1" applyBorder="1" applyAlignment="1">
      <alignment horizontal="left" vertical="top" wrapText="1"/>
    </xf>
    <xf numFmtId="0" fontId="3" fillId="0" borderId="13" xfId="0" applyFont="1" applyFill="1" applyBorder="1" applyAlignment="1">
      <alignment horizontal="center" vertical="top"/>
    </xf>
    <xf numFmtId="0" fontId="3" fillId="0" borderId="21" xfId="0" applyFont="1" applyFill="1" applyBorder="1" applyAlignment="1">
      <alignment horizontal="center" vertical="top"/>
    </xf>
    <xf numFmtId="0" fontId="29" fillId="8" borderId="26" xfId="0" applyFont="1" applyFill="1" applyBorder="1" applyAlignment="1">
      <alignment horizontal="justify" vertical="top" wrapText="1"/>
    </xf>
    <xf numFmtId="0" fontId="6" fillId="8" borderId="43" xfId="0" applyFont="1" applyFill="1" applyBorder="1" applyAlignment="1">
      <alignment horizontal="justify" vertical="top" wrapText="1"/>
    </xf>
    <xf numFmtId="0" fontId="8" fillId="8" borderId="15" xfId="0" applyFont="1" applyFill="1" applyBorder="1" applyAlignment="1">
      <alignment horizontal="left" vertical="top" wrapText="1"/>
    </xf>
    <xf numFmtId="0" fontId="8" fillId="8" borderId="36" xfId="0" applyFont="1" applyFill="1" applyBorder="1" applyAlignment="1">
      <alignment horizontal="left" vertical="top" wrapText="1"/>
    </xf>
    <xf numFmtId="0" fontId="3" fillId="8" borderId="1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8" borderId="2" xfId="0" applyFont="1" applyFill="1" applyBorder="1" applyAlignment="1">
      <alignment horizontal="justify" vertical="top" wrapText="1"/>
    </xf>
    <xf numFmtId="0" fontId="31" fillId="8" borderId="36" xfId="0" applyFont="1" applyFill="1" applyBorder="1" applyAlignment="1">
      <alignment horizontal="left" vertical="top" wrapText="1"/>
    </xf>
    <xf numFmtId="0" fontId="31" fillId="8" borderId="17" xfId="0" applyFont="1" applyFill="1" applyBorder="1" applyAlignment="1">
      <alignment horizontal="left" vertical="top" wrapText="1"/>
    </xf>
    <xf numFmtId="0" fontId="8" fillId="8" borderId="15" xfId="0" applyFont="1" applyFill="1" applyBorder="1" applyAlignment="1">
      <alignment horizontal="center" vertical="center"/>
    </xf>
    <xf numFmtId="0" fontId="8" fillId="8" borderId="36" xfId="0" applyFont="1" applyFill="1" applyBorder="1" applyAlignment="1">
      <alignment horizontal="center" vertical="center"/>
    </xf>
    <xf numFmtId="0" fontId="8" fillId="8" borderId="17" xfId="0" applyFont="1" applyFill="1" applyBorder="1" applyAlignment="1">
      <alignment horizontal="center" vertical="center"/>
    </xf>
    <xf numFmtId="0" fontId="6" fillId="8" borderId="22" xfId="0" applyFont="1" applyFill="1" applyBorder="1" applyAlignment="1">
      <alignment horizontal="left" vertical="top" wrapText="1"/>
    </xf>
    <xf numFmtId="0" fontId="6" fillId="8" borderId="23" xfId="0" applyFont="1" applyFill="1" applyBorder="1" applyAlignment="1">
      <alignment horizontal="left" vertical="top" wrapText="1"/>
    </xf>
    <xf numFmtId="0" fontId="6" fillId="8" borderId="15" xfId="0" applyFont="1" applyFill="1" applyBorder="1" applyAlignment="1">
      <alignment horizontal="left" vertical="top" wrapText="1"/>
    </xf>
    <xf numFmtId="169" fontId="30" fillId="5" borderId="38" xfId="0" applyNumberFormat="1" applyFont="1" applyFill="1" applyBorder="1" applyAlignment="1">
      <alignment horizontal="center" vertical="center" wrapText="1"/>
    </xf>
    <xf numFmtId="0" fontId="30" fillId="4" borderId="36" xfId="0" applyFont="1" applyFill="1" applyBorder="1" applyAlignment="1">
      <alignment horizontal="center" vertical="center" wrapText="1"/>
    </xf>
  </cellXfs>
  <cellStyles count="7">
    <cellStyle name="Hipersaitas" xfId="1" builtinId="8"/>
    <cellStyle name="Įprastas" xfId="0" builtinId="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VLK PSDFvykd" xfId="6" xr:uid="{91D00095-F419-45F2-A0D1-7330231AD8DA}"/>
  </cellStyles>
  <dxfs count="0"/>
  <tableStyles count="0" defaultTableStyle="TableStyleMedium2" defaultPivotStyle="PivotStyleLight16"/>
  <colors>
    <mruColors>
      <color rgb="FFC9D6D9"/>
      <color rgb="FF47ABD9"/>
      <color rgb="FF00244D"/>
      <color rgb="FFB5D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160020</xdr:colOff>
      <xdr:row>0</xdr:row>
      <xdr:rowOff>0</xdr:rowOff>
    </xdr:from>
    <xdr:to>
      <xdr:col>3</xdr:col>
      <xdr:colOff>4876800</xdr:colOff>
      <xdr:row>0</xdr:row>
      <xdr:rowOff>1371600</xdr:rowOff>
    </xdr:to>
    <xdr:pic>
      <xdr:nvPicPr>
        <xdr:cNvPr id="3" name="Paveikslėlis 2">
          <a:hlinkClick xmlns:r="http://schemas.openxmlformats.org/officeDocument/2006/relationships" r:id="rId1"/>
          <a:extLst>
            <a:ext uri="{FF2B5EF4-FFF2-40B4-BE49-F238E27FC236}">
              <a16:creationId xmlns:a16="http://schemas.microsoft.com/office/drawing/2014/main" id="{3CFE4070-9260-4178-BC29-0000F674C50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441960" y="0"/>
          <a:ext cx="50292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20</xdr:row>
      <xdr:rowOff>127014</xdr:rowOff>
    </xdr:from>
    <xdr:to>
      <xdr:col>4</xdr:col>
      <xdr:colOff>599327</xdr:colOff>
      <xdr:row>22</xdr:row>
      <xdr:rowOff>42808</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28</xdr:row>
      <xdr:rowOff>279621</xdr:rowOff>
    </xdr:from>
    <xdr:to>
      <xdr:col>4</xdr:col>
      <xdr:colOff>1269615</xdr:colOff>
      <xdr:row>28</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r>
                      <a:rPr lang="en-US" sz="1050" b="0" i="1">
                        <a:solidFill>
                          <a:schemeClr val="tx1"/>
                        </a:solidFill>
                        <a:effectLst/>
                        <a:latin typeface="Cambria Math" panose="02040503050406030204" pitchFamily="18" charset="0"/>
                        <a:ea typeface="+mn-ea"/>
                        <a:cs typeface="+mn-cs"/>
                      </a:rPr>
                      <m:t>1+</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1+〖0,5⋅Y〗_np10t</a:t>
              </a:r>
              <a:endParaRPr lang="lt-LT" sz="800" i="0"/>
            </a:p>
          </xdr:txBody>
        </xdr:sp>
      </mc:Fallback>
    </mc:AlternateContent>
    <xdr:clientData/>
  </xdr:twoCellAnchor>
  <xdr:twoCellAnchor editAs="oneCell">
    <xdr:from>
      <xdr:col>3</xdr:col>
      <xdr:colOff>420031</xdr:colOff>
      <xdr:row>30</xdr:row>
      <xdr:rowOff>356194</xdr:rowOff>
    </xdr:from>
    <xdr:to>
      <xdr:col>4</xdr:col>
      <xdr:colOff>869859</xdr:colOff>
      <xdr:row>30</xdr:row>
      <xdr:rowOff>791968</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m:t>
                        </m:r>
                      </m:deg>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e>
                            </m:d>
                          </m:num>
                          <m:den>
                            <m:sSup>
                              <m:sSup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p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sup>
                            </m:s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−8)</m:t>
                            </m:r>
                          </m:den>
                        </m:f>
                      </m:e>
                    </m:rad>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751070" y="11561447"/>
              <a:ext cx="1423733" cy="43577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Y_np10t=√(10&amp;(Y^∗ (t+2))/(Y^∗ (t−8)))𝑑_𝑡−1</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24</xdr:row>
      <xdr:rowOff>200504</xdr:rowOff>
    </xdr:from>
    <xdr:to>
      <xdr:col>4</xdr:col>
      <xdr:colOff>890124</xdr:colOff>
      <xdr:row>26</xdr:row>
      <xdr:rowOff>182910</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11</xdr:row>
      <xdr:rowOff>78342</xdr:rowOff>
    </xdr:from>
    <xdr:to>
      <xdr:col>4</xdr:col>
      <xdr:colOff>1025270</xdr:colOff>
      <xdr:row>13</xdr:row>
      <xdr:rowOff>265045</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5</xdr:row>
      <xdr:rowOff>177586</xdr:rowOff>
    </xdr:from>
    <xdr:to>
      <xdr:col>4</xdr:col>
      <xdr:colOff>1194660</xdr:colOff>
      <xdr:row>7</xdr:row>
      <xdr:rowOff>354793</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616215</xdr:colOff>
      <xdr:row>29</xdr:row>
      <xdr:rowOff>71382</xdr:rowOff>
    </xdr:from>
    <xdr:to>
      <xdr:col>4</xdr:col>
      <xdr:colOff>888288</xdr:colOff>
      <xdr:row>30</xdr:row>
      <xdr:rowOff>224746</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47254" y="11009079"/>
              <a:ext cx="1245978" cy="42092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sirinktinis 1">
      <a:dk1>
        <a:sysClr val="windowText" lastClr="000000"/>
      </a:dk1>
      <a:lt1>
        <a:sysClr val="window" lastClr="FFFFFF"/>
      </a:lt1>
      <a:dk2>
        <a:srgbClr val="44546A"/>
      </a:dk2>
      <a:lt2>
        <a:srgbClr val="E7E6E6"/>
      </a:lt2>
      <a:accent1>
        <a:srgbClr val="00244D"/>
      </a:accent1>
      <a:accent2>
        <a:srgbClr val="47ABD9"/>
      </a:accent2>
      <a:accent3>
        <a:srgbClr val="D41A1F"/>
      </a:accent3>
      <a:accent4>
        <a:srgbClr val="D1D1D1"/>
      </a:accent4>
      <a:accent5>
        <a:srgbClr val="666261"/>
      </a:accent5>
      <a:accent6>
        <a:srgbClr val="8D84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rgb="FF00244D"/>
  </sheetPr>
  <dimension ref="C1:G32"/>
  <sheetViews>
    <sheetView showGridLines="0" showRowColHeaders="0" tabSelected="1" workbookViewId="0">
      <selection activeCell="B1" sqref="B1"/>
    </sheetView>
  </sheetViews>
  <sheetFormatPr defaultColWidth="10" defaultRowHeight="13.8" x14ac:dyDescent="0.25"/>
  <cols>
    <col min="1" max="1" width="0.44140625" style="229" customWidth="1"/>
    <col min="2" max="2" width="3.5546875" style="229" customWidth="1"/>
    <col min="3" max="3" width="4.5546875" style="267" customWidth="1"/>
    <col min="4" max="4" width="99.6640625" style="267" customWidth="1"/>
    <col min="5" max="5" width="3.6640625" style="229" customWidth="1"/>
    <col min="6" max="6" width="10" style="229"/>
    <col min="7" max="7" width="10.5546875" style="229" customWidth="1"/>
    <col min="8" max="16384" width="10" style="229"/>
  </cols>
  <sheetData>
    <row r="1" spans="3:7" ht="109.5" customHeight="1" thickBot="1" x14ac:dyDescent="0.3">
      <c r="C1" s="269"/>
      <c r="D1" s="270"/>
      <c r="E1" s="271"/>
    </row>
    <row r="2" spans="3:7" x14ac:dyDescent="0.25">
      <c r="C2" s="247"/>
      <c r="D2" s="248"/>
      <c r="E2" s="249"/>
    </row>
    <row r="3" spans="3:7" ht="35.25" customHeight="1" x14ac:dyDescent="0.25">
      <c r="C3" s="272" t="s">
        <v>0</v>
      </c>
      <c r="D3" s="273"/>
      <c r="E3" s="250"/>
    </row>
    <row r="4" spans="3:7" x14ac:dyDescent="0.25">
      <c r="C4" s="251"/>
      <c r="D4" s="252"/>
      <c r="E4" s="253"/>
    </row>
    <row r="5" spans="3:7" ht="16.2" customHeight="1" x14ac:dyDescent="0.25">
      <c r="C5" s="274" t="s">
        <v>316</v>
      </c>
      <c r="D5" s="275"/>
      <c r="E5" s="254"/>
      <c r="G5" s="255"/>
    </row>
    <row r="6" spans="3:7" x14ac:dyDescent="0.25">
      <c r="C6" s="251"/>
      <c r="D6" s="252"/>
      <c r="E6" s="253"/>
    </row>
    <row r="7" spans="3:7" ht="17.399999999999999" x14ac:dyDescent="0.3">
      <c r="C7" s="276" t="s">
        <v>1</v>
      </c>
      <c r="D7" s="277"/>
      <c r="E7" s="256"/>
    </row>
    <row r="8" spans="3:7" x14ac:dyDescent="0.25">
      <c r="C8" s="251"/>
      <c r="D8" s="252"/>
      <c r="E8" s="253"/>
    </row>
    <row r="9" spans="3:7" ht="171.75" customHeight="1" x14ac:dyDescent="0.25">
      <c r="C9" s="251"/>
      <c r="D9" s="257" t="s">
        <v>314</v>
      </c>
      <c r="E9" s="258"/>
    </row>
    <row r="10" spans="3:7" x14ac:dyDescent="0.25">
      <c r="C10" s="251"/>
      <c r="D10" s="252"/>
      <c r="E10" s="253"/>
    </row>
    <row r="11" spans="3:7" ht="17.399999999999999" x14ac:dyDescent="0.3">
      <c r="C11" s="276" t="s">
        <v>315</v>
      </c>
      <c r="D11" s="277"/>
      <c r="E11" s="256"/>
    </row>
    <row r="12" spans="3:7" x14ac:dyDescent="0.25">
      <c r="C12" s="251"/>
      <c r="D12" s="252"/>
      <c r="E12" s="253"/>
    </row>
    <row r="13" spans="3:7" x14ac:dyDescent="0.25">
      <c r="C13" s="251"/>
      <c r="D13" s="268" t="s">
        <v>2</v>
      </c>
      <c r="E13" s="253"/>
    </row>
    <row r="14" spans="3:7" x14ac:dyDescent="0.25">
      <c r="C14" s="251"/>
      <c r="D14" s="252"/>
      <c r="E14" s="253"/>
    </row>
    <row r="15" spans="3:7" ht="17.399999999999999" x14ac:dyDescent="0.3">
      <c r="C15" s="276" t="s">
        <v>3</v>
      </c>
      <c r="D15" s="277"/>
      <c r="E15" s="256"/>
    </row>
    <row r="16" spans="3:7" x14ac:dyDescent="0.25">
      <c r="C16" s="251"/>
      <c r="D16" s="252"/>
      <c r="E16" s="253"/>
    </row>
    <row r="17" spans="3:5" x14ac:dyDescent="0.25">
      <c r="C17" s="251"/>
      <c r="D17" s="268" t="s">
        <v>4</v>
      </c>
      <c r="E17" s="253"/>
    </row>
    <row r="18" spans="3:5" x14ac:dyDescent="0.25">
      <c r="C18" s="251"/>
      <c r="D18" s="268" t="s">
        <v>5</v>
      </c>
      <c r="E18" s="253"/>
    </row>
    <row r="19" spans="3:5" x14ac:dyDescent="0.25">
      <c r="C19" s="251"/>
      <c r="D19" s="252"/>
      <c r="E19" s="253"/>
    </row>
    <row r="20" spans="3:5" ht="17.399999999999999" x14ac:dyDescent="0.3">
      <c r="C20" s="276" t="s">
        <v>6</v>
      </c>
      <c r="D20" s="277"/>
      <c r="E20" s="256"/>
    </row>
    <row r="21" spans="3:5" x14ac:dyDescent="0.25">
      <c r="C21" s="251"/>
      <c r="D21" s="252"/>
      <c r="E21" s="253"/>
    </row>
    <row r="22" spans="3:5" x14ac:dyDescent="0.25">
      <c r="C22" s="251"/>
      <c r="D22" s="268" t="s">
        <v>7</v>
      </c>
      <c r="E22" s="253"/>
    </row>
    <row r="23" spans="3:5" x14ac:dyDescent="0.25">
      <c r="C23" s="251"/>
      <c r="D23" s="268" t="s">
        <v>8</v>
      </c>
      <c r="E23" s="253"/>
    </row>
    <row r="24" spans="3:5" x14ac:dyDescent="0.25">
      <c r="C24" s="251"/>
      <c r="D24" s="268" t="s">
        <v>9</v>
      </c>
      <c r="E24" s="253"/>
    </row>
    <row r="25" spans="3:5" x14ac:dyDescent="0.25">
      <c r="C25" s="251"/>
      <c r="D25" s="252"/>
      <c r="E25" s="253"/>
    </row>
    <row r="26" spans="3:5" ht="17.399999999999999" x14ac:dyDescent="0.3">
      <c r="C26" s="276" t="s">
        <v>10</v>
      </c>
      <c r="D26" s="277"/>
      <c r="E26" s="259"/>
    </row>
    <row r="27" spans="3:5" x14ac:dyDescent="0.25">
      <c r="C27" s="251"/>
      <c r="D27" s="252"/>
      <c r="E27" s="253"/>
    </row>
    <row r="28" spans="3:5" x14ac:dyDescent="0.25">
      <c r="C28" s="251" t="s">
        <v>11</v>
      </c>
      <c r="D28" s="260" t="s">
        <v>12</v>
      </c>
      <c r="E28" s="253"/>
    </row>
    <row r="29" spans="3:5" ht="14.4" x14ac:dyDescent="0.3">
      <c r="C29" s="261" t="s">
        <v>13</v>
      </c>
      <c r="D29" s="262" t="s">
        <v>14</v>
      </c>
      <c r="E29" s="263"/>
    </row>
    <row r="30" spans="3:5" x14ac:dyDescent="0.25">
      <c r="C30" s="251" t="s">
        <v>15</v>
      </c>
      <c r="D30" s="260" t="s">
        <v>16</v>
      </c>
      <c r="E30" s="253"/>
    </row>
    <row r="31" spans="3:5" ht="14.4" x14ac:dyDescent="0.3">
      <c r="C31" s="261" t="s">
        <v>17</v>
      </c>
      <c r="D31" s="262" t="s">
        <v>18</v>
      </c>
      <c r="E31" s="263"/>
    </row>
    <row r="32" spans="3:5" ht="9.6" customHeight="1" thickBot="1" x14ac:dyDescent="0.3">
      <c r="C32" s="264"/>
      <c r="D32" s="265"/>
      <c r="E32" s="266"/>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rgb="FF47ABD9"/>
  </sheetPr>
  <dimension ref="A1:E36"/>
  <sheetViews>
    <sheetView showGridLines="0" showRowColHeaders="0" zoomScaleNormal="100" workbookViewId="0"/>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230" t="s">
        <v>19</v>
      </c>
      <c r="C1" s="3"/>
      <c r="D1" s="3"/>
    </row>
    <row r="2" spans="1:4" ht="14.4" thickBot="1" x14ac:dyDescent="0.3">
      <c r="A2" s="4" t="s">
        <v>20</v>
      </c>
    </row>
    <row r="3" spans="1:4" ht="35.25" customHeight="1" thickTop="1" thickBot="1" x14ac:dyDescent="0.3">
      <c r="B3" s="293" t="s">
        <v>21</v>
      </c>
      <c r="C3" s="294"/>
      <c r="D3" s="295"/>
    </row>
    <row r="4" spans="1:4" ht="17.25" customHeight="1" thickBot="1" x14ac:dyDescent="0.3">
      <c r="B4" s="87" t="s">
        <v>22</v>
      </c>
      <c r="C4" s="296"/>
      <c r="D4" s="297"/>
    </row>
    <row r="5" spans="1:4" ht="33" customHeight="1" thickBot="1" x14ac:dyDescent="0.35">
      <c r="B5" s="6" t="s">
        <v>23</v>
      </c>
      <c r="C5" s="88" t="s">
        <v>24</v>
      </c>
      <c r="D5" s="7" t="s">
        <v>25</v>
      </c>
    </row>
    <row r="6" spans="1:4" ht="17.399999999999999" customHeight="1" thickBot="1" x14ac:dyDescent="0.3">
      <c r="B6" s="278" t="s">
        <v>26</v>
      </c>
      <c r="C6" s="279"/>
      <c r="D6" s="280"/>
    </row>
    <row r="7" spans="1:4" ht="17.399999999999999" customHeight="1" thickBot="1" x14ac:dyDescent="0.3">
      <c r="B7" s="291" t="s">
        <v>27</v>
      </c>
      <c r="C7" s="160" t="str">
        <f>'4. SurplusGG'!E20</f>
        <v>Netaikoma</v>
      </c>
      <c r="D7" s="244" t="str">
        <f>'4. SurplusGG'!F20</f>
        <v>Netaikoma</v>
      </c>
    </row>
    <row r="8" spans="1:4" ht="53.4" customHeight="1" x14ac:dyDescent="0.25">
      <c r="B8" s="292"/>
      <c r="C8" s="161" t="str">
        <f>'4. SurplusGG'!E21</f>
        <v>Paskelbtos išskirtinės aplinkybės</v>
      </c>
      <c r="D8" s="180" t="str">
        <f>'4. SurplusGG'!F21</f>
        <v>Paskelbtos išskirtinės aplinkybės</v>
      </c>
    </row>
    <row r="9" spans="1:4" ht="15.75" customHeight="1" thickBot="1" x14ac:dyDescent="0.3">
      <c r="B9" s="298" t="s">
        <v>28</v>
      </c>
      <c r="C9" s="178" t="str">
        <f>'4. SurplusGG'!E22</f>
        <v>Not applicable</v>
      </c>
      <c r="D9" s="245" t="str">
        <f>'4. SurplusGG'!F22</f>
        <v>Not applicable</v>
      </c>
    </row>
    <row r="10" spans="1:4" ht="33" customHeight="1" thickBot="1" x14ac:dyDescent="0.3">
      <c r="B10" s="299"/>
      <c r="C10" s="179" t="str">
        <f>'4. SurplusGG'!E23</f>
        <v>Exceptional circumstances</v>
      </c>
      <c r="D10" s="246" t="str">
        <f>'4. SurplusGG'!F23</f>
        <v>Exceptional circumstances</v>
      </c>
    </row>
    <row r="11" spans="1:4" ht="17.25" customHeight="1" x14ac:dyDescent="0.25">
      <c r="B11" s="211" t="s">
        <v>29</v>
      </c>
      <c r="C11" s="289" t="str">
        <f>'4. SurplusGG'!E6</f>
        <v>Taip</v>
      </c>
      <c r="D11" s="290"/>
    </row>
    <row r="12" spans="1:4" ht="17.25" customHeight="1" thickBot="1" x14ac:dyDescent="0.3">
      <c r="B12" s="212" t="s">
        <v>30</v>
      </c>
      <c r="C12" s="300" t="str">
        <f>'4. SurplusGG'!E7</f>
        <v>Yes</v>
      </c>
      <c r="D12" s="301"/>
    </row>
    <row r="13" spans="1:4" ht="21" customHeight="1" thickBot="1" x14ac:dyDescent="0.3">
      <c r="B13" s="278" t="s">
        <v>31</v>
      </c>
      <c r="C13" s="279"/>
      <c r="D13" s="280"/>
    </row>
    <row r="14" spans="1:4" ht="18" customHeight="1" x14ac:dyDescent="0.25">
      <c r="B14" s="285" t="s">
        <v>32</v>
      </c>
      <c r="C14" s="8" t="str">
        <f>'5. GGexpenditure'!F20</f>
        <v>Taip</v>
      </c>
      <c r="D14" s="89" t="str">
        <f>'5. GGexpenditure'!G20</f>
        <v>Taip</v>
      </c>
    </row>
    <row r="15" spans="1:4" ht="37.5" customHeight="1" x14ac:dyDescent="0.25">
      <c r="B15" s="286"/>
      <c r="C15" s="173" t="str">
        <f>'5. GGexpenditure'!F21</f>
        <v>Susidaro A3 A5 aplinkybės</v>
      </c>
      <c r="D15" s="162" t="str">
        <f>'5. GGexpenditure'!G21</f>
        <v>Susidaro A3 A5 aplinkybės</v>
      </c>
    </row>
    <row r="16" spans="1:4" ht="18" customHeight="1" x14ac:dyDescent="0.25">
      <c r="B16" s="287" t="s">
        <v>33</v>
      </c>
      <c r="C16" s="174" t="str">
        <f>'5. GGexpenditure'!F22</f>
        <v>Yes</v>
      </c>
      <c r="D16" s="175" t="str">
        <f>'5. GGexpenditure'!G22</f>
        <v>Yes</v>
      </c>
    </row>
    <row r="17" spans="2:4" ht="52.5" customHeight="1" thickBot="1" x14ac:dyDescent="0.3">
      <c r="B17" s="287"/>
      <c r="C17" s="176" t="str">
        <f>'5. GGexpenditure'!F23</f>
        <v>Escape clauses A3 A5 emerge</v>
      </c>
      <c r="D17" s="177" t="str">
        <f>'5. GGexpenditure'!G23</f>
        <v>Escape clauses A3 A5 emerge</v>
      </c>
    </row>
    <row r="18" spans="2:4" ht="22.5" customHeight="1" x14ac:dyDescent="0.25">
      <c r="B18" s="285" t="s">
        <v>34</v>
      </c>
      <c r="C18" s="156" t="str">
        <f>'5. GGexpenditure'!F28</f>
        <v>Netaikoma</v>
      </c>
      <c r="D18" s="199" t="str">
        <f>'5. GGexpenditure'!G28</f>
        <v>Netaikoma</v>
      </c>
    </row>
    <row r="19" spans="2:4" ht="69" customHeight="1" x14ac:dyDescent="0.25">
      <c r="B19" s="286"/>
      <c r="C19" s="157" t="str">
        <f>'5. GGexpenditure'!F29</f>
        <v>Susidarė KĮ numatytos netaikymo aplinkybės</v>
      </c>
      <c r="D19" s="198" t="str">
        <f>'5. GGexpenditure'!G29</f>
        <v>Susidarė KĮ numatytos netaikymo aplinkybės</v>
      </c>
    </row>
    <row r="20" spans="2:4" ht="14.4" x14ac:dyDescent="0.25">
      <c r="B20" s="287" t="s">
        <v>35</v>
      </c>
      <c r="C20" s="174" t="str">
        <f>'5. GGexpenditure'!F30</f>
        <v>Not applied</v>
      </c>
      <c r="D20" s="175" t="str">
        <f>'5. GGexpenditure'!G30</f>
        <v>Not applied</v>
      </c>
    </row>
    <row r="21" spans="2:4" ht="64.5" customHeight="1" thickBot="1" x14ac:dyDescent="0.3">
      <c r="B21" s="288"/>
      <c r="C21" s="92" t="str">
        <f>'5. GGexpenditure'!F31</f>
        <v>CL escape clauses emerged</v>
      </c>
      <c r="D21" s="197" t="str">
        <f>'5. GGexpenditure'!G31</f>
        <v>CL escape clauses emerged</v>
      </c>
    </row>
    <row r="22" spans="2:4" ht="19.5" customHeight="1" x14ac:dyDescent="0.25">
      <c r="B22" s="211" t="s">
        <v>36</v>
      </c>
      <c r="C22" s="173" t="s">
        <v>37</v>
      </c>
      <c r="D22" s="180" t="s">
        <v>38</v>
      </c>
    </row>
    <row r="23" spans="2:4" ht="15" thickBot="1" x14ac:dyDescent="0.3">
      <c r="B23" s="212" t="s">
        <v>39</v>
      </c>
      <c r="C23" s="92" t="s">
        <v>40</v>
      </c>
      <c r="D23" s="170" t="s">
        <v>40</v>
      </c>
    </row>
    <row r="24" spans="2:4" ht="15.75" customHeight="1" thickBot="1" x14ac:dyDescent="0.3">
      <c r="B24" s="278" t="s">
        <v>41</v>
      </c>
      <c r="C24" s="279" t="s">
        <v>42</v>
      </c>
      <c r="D24" s="280"/>
    </row>
    <row r="25" spans="2:4" ht="82.8" x14ac:dyDescent="0.25">
      <c r="B25" s="211" t="s">
        <v>43</v>
      </c>
      <c r="C25" s="86" t="str">
        <f>'6. GGbudgets'!E6:E6</f>
        <v>Savivaldybių biudžetų atitiktis fiskalinės drausmės taisyklėms bus vertinama 2021 m. I pusmečio pabaigoje</v>
      </c>
      <c r="D25" s="167" t="str">
        <f>'6. GGbudgets'!F6:F6</f>
        <v>Savivaldybių biudžetų atitiktis fiskalinės drausmės taisyklėms bus vertinama 2021 m. I pusmečio pabaigoje</v>
      </c>
    </row>
    <row r="26" spans="2:4" ht="43.8" thickBot="1" x14ac:dyDescent="0.3">
      <c r="B26" s="212" t="s">
        <v>44</v>
      </c>
      <c r="C26" s="91" t="str">
        <f>'6. GGbudgets'!E7:E7</f>
        <v>Will be assessed at the end of the first half of 2021</v>
      </c>
      <c r="D26" s="168" t="str">
        <f>'6. GGbudgets'!F7:F7</f>
        <v>Will be assessed at the end of the first half of 2021</v>
      </c>
    </row>
    <row r="27" spans="2:4" x14ac:dyDescent="0.25">
      <c r="B27" s="211" t="s">
        <v>45</v>
      </c>
      <c r="C27" s="156" t="str">
        <f>'6. GGbudgets'!E12</f>
        <v>Tenkinama</v>
      </c>
      <c r="D27" s="169" t="str">
        <f>'6. GGbudgets'!F12</f>
        <v>Tenkinama</v>
      </c>
    </row>
    <row r="28" spans="2:4" ht="15" thickBot="1" x14ac:dyDescent="0.3">
      <c r="B28" s="212" t="s">
        <v>46</v>
      </c>
      <c r="C28" s="92" t="str">
        <f>'6. GGbudgets'!E13</f>
        <v>Valid</v>
      </c>
      <c r="D28" s="170" t="str">
        <f>'6. GGbudgets'!F13</f>
        <v>Valid</v>
      </c>
    </row>
    <row r="29" spans="2:4" x14ac:dyDescent="0.25">
      <c r="B29" s="205" t="s">
        <v>47</v>
      </c>
      <c r="C29" s="157" t="str">
        <f>'6. GGbudgets'!E20</f>
        <v>Tenkinama</v>
      </c>
      <c r="D29" s="171" t="str">
        <f>'6. GGbudgets'!F20</f>
        <v>Tenkinama</v>
      </c>
    </row>
    <row r="30" spans="2:4" ht="15" thickBot="1" x14ac:dyDescent="0.3">
      <c r="B30" s="206" t="s">
        <v>48</v>
      </c>
      <c r="C30" s="228" t="str">
        <f>'6. GGbudgets'!E21</f>
        <v>Valid</v>
      </c>
      <c r="D30" s="172" t="str">
        <f>'6. GGbudgets'!F21</f>
        <v>Valid</v>
      </c>
    </row>
    <row r="31" spans="2:4" ht="121.5" customHeight="1" x14ac:dyDescent="0.25">
      <c r="B31" s="208" t="s">
        <v>49</v>
      </c>
      <c r="C31" s="156" t="str">
        <f>'6. GGbudgets'!E22</f>
        <v>Savivaldybių biudžetų atitiktis fiskalinės drausmės taisyklėms bus vertinama 2021 m. I pusmečio pabaigoje</v>
      </c>
      <c r="D31" s="169" t="str">
        <f>'6. GGbudgets'!F22</f>
        <v>Savivaldybių biudžetų atitiktis fiskalinės drausmės taisyklėms bus vertinama 2021 m. I pusmečio pabaigoje</v>
      </c>
    </row>
    <row r="32" spans="2:4" ht="48.75" customHeight="1" thickBot="1" x14ac:dyDescent="0.3">
      <c r="B32" s="207" t="s">
        <v>50</v>
      </c>
      <c r="C32" s="209" t="str">
        <f>'6. GGbudgets'!E23</f>
        <v>Will be assessed at the end of the first half of 2021</v>
      </c>
      <c r="D32" s="210" t="str">
        <f>'6. GGbudgets'!F23</f>
        <v>Will be assessed at the end of the first half of 2021</v>
      </c>
    </row>
    <row r="33" spans="2:5" ht="14.4" thickTop="1" x14ac:dyDescent="0.25">
      <c r="B33" s="85"/>
      <c r="C33" s="85"/>
      <c r="D33" s="85"/>
    </row>
    <row r="34" spans="2:5" ht="15" thickBot="1" x14ac:dyDescent="0.35">
      <c r="B34" s="10" t="s">
        <v>51</v>
      </c>
      <c r="C34" s="10"/>
      <c r="D34" s="10"/>
      <c r="E34" s="136" t="s">
        <v>52</v>
      </c>
    </row>
    <row r="35" spans="2:5" ht="15" thickBot="1" x14ac:dyDescent="0.35">
      <c r="B35" s="11" t="s">
        <v>53</v>
      </c>
      <c r="C35" s="281" t="s">
        <v>24</v>
      </c>
      <c r="D35" s="282"/>
      <c r="E35" s="136" t="s">
        <v>54</v>
      </c>
    </row>
    <row r="36" spans="2:5" ht="15" thickBot="1" x14ac:dyDescent="0.35">
      <c r="B36" s="11" t="s">
        <v>55</v>
      </c>
      <c r="C36" s="283" t="s">
        <v>25</v>
      </c>
      <c r="D36" s="284"/>
      <c r="E36" s="241" t="s">
        <v>56</v>
      </c>
    </row>
  </sheetData>
  <mergeCells count="15">
    <mergeCell ref="C11:D11"/>
    <mergeCell ref="B13:D13"/>
    <mergeCell ref="B7:B8"/>
    <mergeCell ref="B3:D3"/>
    <mergeCell ref="B6:D6"/>
    <mergeCell ref="C4:D4"/>
    <mergeCell ref="B9:B10"/>
    <mergeCell ref="C12:D12"/>
    <mergeCell ref="B24:D24"/>
    <mergeCell ref="C35:D35"/>
    <mergeCell ref="C36:D36"/>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5"/>
  </sheetPr>
  <dimension ref="A1:T62"/>
  <sheetViews>
    <sheetView showGridLines="0" showRowColHeaders="0" zoomScaleNormal="100" workbookViewId="0">
      <pane ySplit="5" topLeftCell="A6" activePane="bottomLeft" state="frozen"/>
      <selection pane="bottomLeft"/>
    </sheetView>
  </sheetViews>
  <sheetFormatPr defaultColWidth="10" defaultRowHeight="13.8" x14ac:dyDescent="0.25"/>
  <cols>
    <col min="1" max="1" width="4.5546875" style="1" customWidth="1"/>
    <col min="2" max="2" width="49.109375" style="1" customWidth="1"/>
    <col min="3" max="3" width="40.88671875" style="1" customWidth="1"/>
    <col min="4" max="4" width="21.109375" style="1" customWidth="1"/>
    <col min="5" max="9" width="11.44140625" style="1" customWidth="1"/>
    <col min="10" max="10" width="11.6640625" style="1" customWidth="1"/>
    <col min="11" max="13" width="11.44140625" style="1" customWidth="1"/>
    <col min="14" max="14" width="11.6640625" style="229" hidden="1" customWidth="1"/>
    <col min="15" max="17" width="11.44140625" style="229" hidden="1" customWidth="1"/>
    <col min="18" max="16384" width="10" style="1"/>
  </cols>
  <sheetData>
    <row r="1" spans="1:20" x14ac:dyDescent="0.25">
      <c r="B1" s="230" t="s">
        <v>19</v>
      </c>
      <c r="C1" s="3"/>
      <c r="D1" s="3"/>
      <c r="E1" s="3"/>
    </row>
    <row r="2" spans="1:20" ht="14.4" thickBot="1" x14ac:dyDescent="0.3">
      <c r="A2" s="12" t="s">
        <v>20</v>
      </c>
      <c r="B2" s="13"/>
      <c r="C2" s="13"/>
      <c r="N2" s="236"/>
      <c r="O2" s="236"/>
      <c r="P2" s="236"/>
      <c r="Q2" s="236"/>
    </row>
    <row r="3" spans="1:20" ht="40.200000000000003" customHeight="1" thickBot="1" x14ac:dyDescent="0.3">
      <c r="B3" s="302" t="s">
        <v>57</v>
      </c>
      <c r="C3" s="303"/>
      <c r="D3" s="303"/>
      <c r="E3" s="303"/>
      <c r="F3" s="303"/>
      <c r="G3" s="303"/>
      <c r="H3" s="303"/>
      <c r="I3" s="303"/>
      <c r="J3" s="303"/>
      <c r="K3" s="303"/>
      <c r="L3" s="303"/>
      <c r="M3" s="303"/>
      <c r="N3" s="303"/>
      <c r="O3" s="303"/>
      <c r="P3" s="303"/>
      <c r="Q3" s="304"/>
    </row>
    <row r="4" spans="1:20" ht="22.95" customHeight="1" thickBot="1" x14ac:dyDescent="0.3">
      <c r="B4" s="318" t="s">
        <v>58</v>
      </c>
      <c r="C4" s="318" t="s">
        <v>59</v>
      </c>
      <c r="D4" s="321" t="s">
        <v>60</v>
      </c>
      <c r="E4" s="319" t="s">
        <v>61</v>
      </c>
      <c r="F4" s="319"/>
      <c r="G4" s="319"/>
      <c r="H4" s="319"/>
      <c r="I4" s="319"/>
      <c r="J4" s="319"/>
      <c r="K4" s="319"/>
      <c r="L4" s="319"/>
      <c r="M4" s="320"/>
      <c r="N4" s="325" t="s">
        <v>62</v>
      </c>
      <c r="O4" s="319"/>
      <c r="P4" s="319"/>
      <c r="Q4" s="319"/>
    </row>
    <row r="5" spans="1:20" ht="20.25" customHeight="1" thickBot="1" x14ac:dyDescent="0.3">
      <c r="B5" s="318"/>
      <c r="C5" s="318"/>
      <c r="D5" s="321"/>
      <c r="E5" s="219">
        <v>2012</v>
      </c>
      <c r="F5" s="14">
        <f t="shared" ref="F5:J5" si="0">E5+1</f>
        <v>2013</v>
      </c>
      <c r="G5" s="14">
        <f t="shared" si="0"/>
        <v>2014</v>
      </c>
      <c r="H5" s="14">
        <f t="shared" si="0"/>
        <v>2015</v>
      </c>
      <c r="I5" s="14">
        <f t="shared" si="0"/>
        <v>2016</v>
      </c>
      <c r="J5" s="14">
        <f t="shared" si="0"/>
        <v>2017</v>
      </c>
      <c r="K5" s="14">
        <f>J5+1</f>
        <v>2018</v>
      </c>
      <c r="L5" s="14">
        <f>K5+1</f>
        <v>2019</v>
      </c>
      <c r="M5" s="14">
        <f>L5+1</f>
        <v>2020</v>
      </c>
      <c r="N5" s="14" t="str">
        <f>CONCATENATE(M5+1,"P")</f>
        <v>2021P</v>
      </c>
      <c r="O5" s="14" t="str">
        <f>CONCATENATE(M5+2,"P")</f>
        <v>2022P</v>
      </c>
      <c r="P5" s="14" t="str">
        <f>CONCATENATE(M5+3,"P")</f>
        <v>2023P</v>
      </c>
      <c r="Q5" s="14" t="str">
        <f>CONCATENATE(M5+4,"P")</f>
        <v>2024P</v>
      </c>
    </row>
    <row r="6" spans="1:20" ht="14.4" thickBot="1" x14ac:dyDescent="0.3">
      <c r="B6" s="109" t="s">
        <v>63</v>
      </c>
      <c r="C6" s="109" t="s">
        <v>64</v>
      </c>
      <c r="D6" s="164"/>
      <c r="E6" s="15" t="s">
        <v>65</v>
      </c>
      <c r="F6" s="15" t="s">
        <v>66</v>
      </c>
      <c r="G6" s="15" t="s">
        <v>67</v>
      </c>
      <c r="H6" s="15" t="s">
        <v>68</v>
      </c>
      <c r="I6" s="15" t="s">
        <v>69</v>
      </c>
      <c r="J6" s="15" t="s">
        <v>70</v>
      </c>
      <c r="K6" s="15" t="s">
        <v>71</v>
      </c>
      <c r="L6" s="15" t="s">
        <v>72</v>
      </c>
      <c r="M6" s="15" t="s">
        <v>73</v>
      </c>
      <c r="N6" s="15" t="s">
        <v>74</v>
      </c>
      <c r="O6" s="15" t="s">
        <v>75</v>
      </c>
      <c r="P6" s="15" t="s">
        <v>76</v>
      </c>
      <c r="Q6" s="15" t="s">
        <v>77</v>
      </c>
    </row>
    <row r="7" spans="1:20" ht="14.4" thickBot="1" x14ac:dyDescent="0.3">
      <c r="B7" s="307" t="s">
        <v>78</v>
      </c>
      <c r="C7" s="322" t="s">
        <v>79</v>
      </c>
      <c r="D7" s="16">
        <v>44301</v>
      </c>
      <c r="E7" s="17">
        <v>33410.199999999997</v>
      </c>
      <c r="F7" s="17">
        <v>35039.5</v>
      </c>
      <c r="G7" s="17">
        <v>36581.300000000003</v>
      </c>
      <c r="H7" s="17">
        <v>37345.699999999997</v>
      </c>
      <c r="I7" s="17">
        <v>38889.9</v>
      </c>
      <c r="J7" s="17">
        <v>42276.3</v>
      </c>
      <c r="K7" s="17">
        <v>45491.1</v>
      </c>
      <c r="L7" s="17">
        <v>48797.4</v>
      </c>
      <c r="M7" s="17">
        <v>48794.2</v>
      </c>
      <c r="N7" s="237"/>
      <c r="O7" s="237"/>
      <c r="P7" s="237"/>
      <c r="Q7" s="237"/>
    </row>
    <row r="8" spans="1:20" ht="14.4" thickBot="1" x14ac:dyDescent="0.3">
      <c r="B8" s="308"/>
      <c r="C8" s="322"/>
      <c r="D8" s="16">
        <v>44301</v>
      </c>
      <c r="E8" s="17">
        <v>33410.199999999997</v>
      </c>
      <c r="F8" s="17">
        <v>35039.5</v>
      </c>
      <c r="G8" s="17">
        <v>36581.300000000003</v>
      </c>
      <c r="H8" s="17">
        <v>37345.699999999997</v>
      </c>
      <c r="I8" s="17">
        <v>38889.9</v>
      </c>
      <c r="J8" s="17">
        <v>42276.3</v>
      </c>
      <c r="K8" s="17">
        <v>45491.1</v>
      </c>
      <c r="L8" s="17">
        <v>48797.4</v>
      </c>
      <c r="M8" s="17">
        <v>48794.2</v>
      </c>
      <c r="N8" s="237"/>
      <c r="O8" s="237"/>
      <c r="P8" s="237"/>
      <c r="Q8" s="237"/>
    </row>
    <row r="9" spans="1:20" ht="14.4" thickBot="1" x14ac:dyDescent="0.3">
      <c r="B9" s="307" t="s">
        <v>80</v>
      </c>
      <c r="C9" s="309" t="s">
        <v>81</v>
      </c>
      <c r="D9" s="16">
        <f>$D$7</f>
        <v>44301</v>
      </c>
      <c r="E9" s="18"/>
      <c r="F9" s="18"/>
      <c r="G9" s="18">
        <f t="shared" ref="G9:L9" si="1">(G7-F7)/F11*100</f>
        <v>4.3610217768236303</v>
      </c>
      <c r="H9" s="18">
        <f t="shared" si="1"/>
        <v>2.0882621309889857</v>
      </c>
      <c r="I9" s="18">
        <f t="shared" si="1"/>
        <v>4.1348803208937159</v>
      </c>
      <c r="J9" s="18">
        <f t="shared" si="1"/>
        <v>8.8449162104559367</v>
      </c>
      <c r="K9" s="18">
        <f t="shared" si="1"/>
        <v>8.051896007614074</v>
      </c>
      <c r="L9" s="18">
        <f t="shared" si="1"/>
        <v>7.9674103205471187</v>
      </c>
      <c r="M9" s="18">
        <f>(M7-L7)/L11*100</f>
        <v>-7.3905733237356703E-3</v>
      </c>
      <c r="N9" s="237"/>
      <c r="O9" s="237"/>
      <c r="P9" s="237"/>
      <c r="Q9" s="237"/>
    </row>
    <row r="10" spans="1:20" ht="14.4" thickBot="1" x14ac:dyDescent="0.3">
      <c r="B10" s="308"/>
      <c r="C10" s="309"/>
      <c r="D10" s="16">
        <f>$D$8</f>
        <v>44301</v>
      </c>
      <c r="E10" s="18"/>
      <c r="F10" s="18"/>
      <c r="G10" s="18">
        <f t="shared" ref="G10:L10" si="2">(G8-F8)/F12*100</f>
        <v>4.3610217768236303</v>
      </c>
      <c r="H10" s="18">
        <f t="shared" si="2"/>
        <v>2.0882621309889857</v>
      </c>
      <c r="I10" s="18">
        <f t="shared" si="2"/>
        <v>4.1348803208937159</v>
      </c>
      <c r="J10" s="18">
        <f t="shared" si="2"/>
        <v>8.8449162104559367</v>
      </c>
      <c r="K10" s="18">
        <f t="shared" si="2"/>
        <v>8.051896007614074</v>
      </c>
      <c r="L10" s="18">
        <f t="shared" si="2"/>
        <v>7.9674103205471187</v>
      </c>
      <c r="M10" s="18">
        <f>(M8-L8)/L12*100</f>
        <v>-7.3905733237356703E-3</v>
      </c>
      <c r="N10" s="237"/>
      <c r="O10" s="237"/>
      <c r="P10" s="237"/>
      <c r="Q10" s="237"/>
    </row>
    <row r="11" spans="1:20" ht="14.4" thickBot="1" x14ac:dyDescent="0.3">
      <c r="B11" s="307" t="s">
        <v>82</v>
      </c>
      <c r="C11" s="309" t="s">
        <v>83</v>
      </c>
      <c r="D11" s="16">
        <f>$D$7</f>
        <v>44301</v>
      </c>
      <c r="E11" s="17">
        <v>34142.1</v>
      </c>
      <c r="F11" s="17">
        <v>35354.1</v>
      </c>
      <c r="G11" s="17">
        <v>36604.6</v>
      </c>
      <c r="H11" s="17">
        <v>37345.699999999997</v>
      </c>
      <c r="I11" s="17">
        <v>38286.400000000001</v>
      </c>
      <c r="J11" s="17">
        <v>39926</v>
      </c>
      <c r="K11" s="17">
        <v>41497.800000000003</v>
      </c>
      <c r="L11" s="17">
        <v>43298.400000000001</v>
      </c>
      <c r="M11" s="17">
        <v>42942.2</v>
      </c>
      <c r="N11" s="237"/>
      <c r="O11" s="237"/>
      <c r="P11" s="237"/>
      <c r="Q11" s="237"/>
    </row>
    <row r="12" spans="1:20" ht="14.4" thickBot="1" x14ac:dyDescent="0.3">
      <c r="B12" s="308"/>
      <c r="C12" s="309"/>
      <c r="D12" s="16">
        <f>$D$8</f>
        <v>44301</v>
      </c>
      <c r="E12" s="17">
        <v>34142.1</v>
      </c>
      <c r="F12" s="17">
        <v>35354.1</v>
      </c>
      <c r="G12" s="17">
        <v>36604.6</v>
      </c>
      <c r="H12" s="17">
        <v>37345.699999999997</v>
      </c>
      <c r="I12" s="17">
        <v>38286.400000000001</v>
      </c>
      <c r="J12" s="17">
        <v>39926</v>
      </c>
      <c r="K12" s="17">
        <v>41497.800000000003</v>
      </c>
      <c r="L12" s="17">
        <v>43298.400000000001</v>
      </c>
      <c r="M12" s="17">
        <v>42942.2</v>
      </c>
      <c r="N12" s="237"/>
      <c r="O12" s="237"/>
      <c r="P12" s="237"/>
      <c r="Q12" s="237"/>
    </row>
    <row r="13" spans="1:20" ht="14.4" thickBot="1" x14ac:dyDescent="0.3">
      <c r="B13" s="307" t="s">
        <v>84</v>
      </c>
      <c r="C13" s="309" t="s">
        <v>85</v>
      </c>
      <c r="D13" s="16">
        <f>$D$7</f>
        <v>44301</v>
      </c>
      <c r="E13" s="18"/>
      <c r="F13" s="18">
        <f t="shared" ref="F13:J14" si="3">(F11/E11-1)*100</f>
        <v>3.5498695159348781</v>
      </c>
      <c r="G13" s="18">
        <f t="shared" si="3"/>
        <v>3.5370720793345134</v>
      </c>
      <c r="H13" s="18">
        <f t="shared" si="3"/>
        <v>2.0246089289324143</v>
      </c>
      <c r="I13" s="18">
        <f t="shared" si="3"/>
        <v>2.5188977579748251</v>
      </c>
      <c r="J13" s="18">
        <f t="shared" si="3"/>
        <v>4.2824606126457443</v>
      </c>
      <c r="K13" s="18">
        <f>(K11/J11-1)*100</f>
        <v>3.9367830486399802</v>
      </c>
      <c r="L13" s="18">
        <f>(L11-K11)/K11*100</f>
        <v>4.3390252013359705</v>
      </c>
      <c r="M13" s="18">
        <f>(M11-L11)/L11*100</f>
        <v>-0.8226631930972147</v>
      </c>
      <c r="N13" s="237"/>
      <c r="O13" s="237"/>
      <c r="P13" s="237"/>
      <c r="Q13" s="237"/>
    </row>
    <row r="14" spans="1:20" ht="14.4" thickBot="1" x14ac:dyDescent="0.3">
      <c r="B14" s="308"/>
      <c r="C14" s="309"/>
      <c r="D14" s="16">
        <f>$D$8</f>
        <v>44301</v>
      </c>
      <c r="E14" s="18"/>
      <c r="F14" s="18">
        <f t="shared" si="3"/>
        <v>3.5498695159348781</v>
      </c>
      <c r="G14" s="18">
        <f t="shared" si="3"/>
        <v>3.5370720793345134</v>
      </c>
      <c r="H14" s="18">
        <f t="shared" si="3"/>
        <v>2.0246089289324143</v>
      </c>
      <c r="I14" s="18">
        <f t="shared" si="3"/>
        <v>2.5188977579748251</v>
      </c>
      <c r="J14" s="18">
        <f t="shared" si="3"/>
        <v>4.2824606126457443</v>
      </c>
      <c r="K14" s="20">
        <f>(K12/J12-1)*100</f>
        <v>3.9367830486399802</v>
      </c>
      <c r="L14" s="20">
        <f>(L12-K12)/K12*100</f>
        <v>4.3390252013359705</v>
      </c>
      <c r="M14" s="20">
        <f>(M12-L12)/L12*100</f>
        <v>-0.8226631930972147</v>
      </c>
      <c r="N14" s="237"/>
      <c r="O14" s="237"/>
      <c r="P14" s="237"/>
      <c r="Q14" s="237"/>
    </row>
    <row r="15" spans="1:20" ht="14.4" thickBot="1" x14ac:dyDescent="0.3">
      <c r="B15" s="307" t="s">
        <v>86</v>
      </c>
      <c r="C15" s="309" t="s">
        <v>87</v>
      </c>
      <c r="D15" s="16">
        <v>44302</v>
      </c>
      <c r="E15" s="21">
        <v>35214.546674778605</v>
      </c>
      <c r="F15" s="21">
        <v>35880.295612131398</v>
      </c>
      <c r="G15" s="21">
        <v>36627.117446200224</v>
      </c>
      <c r="H15" s="21">
        <v>37454.18138971884</v>
      </c>
      <c r="I15" s="21">
        <v>38350.096659716277</v>
      </c>
      <c r="J15" s="21">
        <v>39348.621857430575</v>
      </c>
      <c r="K15" s="21">
        <v>40508.965123823604</v>
      </c>
      <c r="L15" s="21">
        <v>41779.30244521406</v>
      </c>
      <c r="M15" s="21">
        <v>43092.445446637015</v>
      </c>
      <c r="N15" s="21">
        <v>44472.250877601829</v>
      </c>
      <c r="O15" s="21">
        <v>45884.123329375703</v>
      </c>
      <c r="P15" s="21">
        <v>47298.819544006692</v>
      </c>
      <c r="Q15" s="21">
        <v>48737.817962691806</v>
      </c>
    </row>
    <row r="16" spans="1:20" ht="14.4" thickBot="1" x14ac:dyDescent="0.3">
      <c r="B16" s="308"/>
      <c r="C16" s="309"/>
      <c r="D16" s="16">
        <v>44314</v>
      </c>
      <c r="E16" s="22">
        <v>35000.338783019462</v>
      </c>
      <c r="F16" s="22">
        <v>35658.58458333106</v>
      </c>
      <c r="G16" s="22">
        <v>36391.156579218259</v>
      </c>
      <c r="H16" s="22">
        <v>37146.115439936628</v>
      </c>
      <c r="I16" s="22">
        <v>37843.882293520561</v>
      </c>
      <c r="J16" s="22">
        <v>38727.257047530591</v>
      </c>
      <c r="K16" s="22">
        <v>39934.698116120533</v>
      </c>
      <c r="L16" s="22">
        <v>41571.13581113395</v>
      </c>
      <c r="M16" s="22">
        <v>43186.387038734778</v>
      </c>
      <c r="N16" s="22">
        <v>44835.170483388305</v>
      </c>
      <c r="O16" s="22">
        <v>46380.185641268261</v>
      </c>
      <c r="P16" s="22">
        <v>47733.742297885328</v>
      </c>
      <c r="Q16" s="22">
        <v>49022.269835605752</v>
      </c>
      <c r="R16" s="238"/>
      <c r="S16" s="238"/>
      <c r="T16" s="238"/>
    </row>
    <row r="17" spans="2:17" ht="14.4" thickBot="1" x14ac:dyDescent="0.3">
      <c r="B17" s="307" t="s">
        <v>88</v>
      </c>
      <c r="C17" s="309" t="s">
        <v>89</v>
      </c>
      <c r="D17" s="16">
        <f>D15</f>
        <v>44302</v>
      </c>
      <c r="E17" s="18"/>
      <c r="F17" s="21">
        <f>(F15/E15-1)*100</f>
        <v>1.8905509234614648</v>
      </c>
      <c r="G17" s="21">
        <f>(G15/F15-1)*100</f>
        <v>2.0814260900802628</v>
      </c>
      <c r="H17" s="21">
        <f t="shared" ref="G17:K18" si="4">(H15/G15-1)*100</f>
        <v>2.2580645193645221</v>
      </c>
      <c r="I17" s="21">
        <f>(I15/H15-1)*100</f>
        <v>2.3920300397844541</v>
      </c>
      <c r="J17" s="21">
        <f t="shared" si="4"/>
        <v>2.6037097287506139</v>
      </c>
      <c r="K17" s="21">
        <f t="shared" si="4"/>
        <v>2.9488790499378359</v>
      </c>
      <c r="L17" s="21">
        <f>(L15/K15-1)*100</f>
        <v>3.1359411861236586</v>
      </c>
      <c r="M17" s="21">
        <f>(M15/L15-1)*100</f>
        <v>3.14304673503083</v>
      </c>
      <c r="N17" s="237"/>
      <c r="O17" s="237"/>
      <c r="P17" s="237"/>
      <c r="Q17" s="237"/>
    </row>
    <row r="18" spans="2:17" ht="14.4" thickBot="1" x14ac:dyDescent="0.3">
      <c r="B18" s="308"/>
      <c r="C18" s="309"/>
      <c r="D18" s="16">
        <f>$D$16</f>
        <v>44314</v>
      </c>
      <c r="E18" s="18"/>
      <c r="F18" s="22">
        <f>(F16/E16-1)*100</f>
        <v>1.8806840824950655</v>
      </c>
      <c r="G18" s="22">
        <f t="shared" si="4"/>
        <v>2.0544057046774755</v>
      </c>
      <c r="H18" s="22">
        <f t="shared" si="4"/>
        <v>2.074566822505175</v>
      </c>
      <c r="I18" s="22">
        <f>(I16/H16-1)*100</f>
        <v>1.878438284380457</v>
      </c>
      <c r="J18" s="22">
        <f t="shared" si="4"/>
        <v>2.3342603889275892</v>
      </c>
      <c r="K18" s="22">
        <f t="shared" si="4"/>
        <v>3.1178068384962732</v>
      </c>
      <c r="L18" s="22">
        <f>(L16/K16-1)*100</f>
        <v>4.0977840630096907</v>
      </c>
      <c r="M18" s="22">
        <f>(M16/L16-1)*100</f>
        <v>3.8855114157554826</v>
      </c>
      <c r="N18" s="237"/>
      <c r="O18" s="237"/>
      <c r="P18" s="237"/>
      <c r="Q18" s="237"/>
    </row>
    <row r="19" spans="2:17" ht="14.4" thickBot="1" x14ac:dyDescent="0.3">
      <c r="B19" s="307" t="s">
        <v>90</v>
      </c>
      <c r="C19" s="309" t="s">
        <v>91</v>
      </c>
      <c r="D19" s="16">
        <f>D15</f>
        <v>44302</v>
      </c>
      <c r="E19" s="21">
        <f>(E11/E15-1)*100</f>
        <v>-3.045464945731402</v>
      </c>
      <c r="F19" s="21">
        <f>(F11/F15-1)*100</f>
        <v>-1.4665308720407833</v>
      </c>
      <c r="G19" s="21">
        <f t="shared" ref="G19:L19" si="5">(G11/G15-1)*100</f>
        <v>-6.1477527499398388E-2</v>
      </c>
      <c r="H19" s="21">
        <f t="shared" si="5"/>
        <v>-0.28963759370435049</v>
      </c>
      <c r="I19" s="21">
        <f t="shared" si="5"/>
        <v>-0.16609256628858926</v>
      </c>
      <c r="J19" s="21">
        <f t="shared" si="5"/>
        <v>1.4673401896041049</v>
      </c>
      <c r="K19" s="21">
        <f>(K11/K15-1)*100</f>
        <v>2.44102724706452</v>
      </c>
      <c r="L19" s="21">
        <f t="shared" si="5"/>
        <v>3.6360050692037404</v>
      </c>
      <c r="M19" s="21">
        <f>(M11/M15-1)*100</f>
        <v>-0.34865843671618713</v>
      </c>
      <c r="N19" s="237"/>
      <c r="O19" s="237"/>
      <c r="P19" s="237"/>
      <c r="Q19" s="237"/>
    </row>
    <row r="20" spans="2:17" ht="14.4" thickBot="1" x14ac:dyDescent="0.3">
      <c r="B20" s="308"/>
      <c r="C20" s="309"/>
      <c r="D20" s="16">
        <f>$D$16</f>
        <v>44314</v>
      </c>
      <c r="E20" s="22">
        <f t="shared" ref="E20" si="6">(E$12/E16-1)*100</f>
        <v>-2.4520870736138178</v>
      </c>
      <c r="F20" s="22">
        <f t="shared" ref="F20:K20" si="7">(F$12/F16-1)*100</f>
        <v>-0.85388858500400344</v>
      </c>
      <c r="G20" s="22">
        <f t="shared" si="7"/>
        <v>0.58652552115814327</v>
      </c>
      <c r="H20" s="22">
        <f t="shared" si="7"/>
        <v>0.53729591290934131</v>
      </c>
      <c r="I20" s="22">
        <f t="shared" si="7"/>
        <v>1.1693242861481101</v>
      </c>
      <c r="J20" s="22">
        <f t="shared" si="7"/>
        <v>3.0953469051478999</v>
      </c>
      <c r="K20" s="22">
        <f t="shared" si="7"/>
        <v>3.9141447353235215</v>
      </c>
      <c r="L20" s="22">
        <f>(L$12/L16-1)*100</f>
        <v>4.1549602991685308</v>
      </c>
      <c r="M20" s="22">
        <f>(M$12/M16-1)*100</f>
        <v>-0.56542594895878651</v>
      </c>
      <c r="N20" s="237"/>
      <c r="O20" s="237"/>
      <c r="P20" s="237"/>
      <c r="Q20" s="237"/>
    </row>
    <row r="21" spans="2:17" ht="17.399999999999999" customHeight="1" thickBot="1" x14ac:dyDescent="0.3">
      <c r="B21" s="310" t="s">
        <v>92</v>
      </c>
      <c r="C21" s="309" t="s">
        <v>93</v>
      </c>
      <c r="D21" s="16">
        <f>$D$15</f>
        <v>44302</v>
      </c>
      <c r="E21" s="21">
        <f>E19*E38</f>
        <v>-1.2151405133468294</v>
      </c>
      <c r="F21" s="21">
        <f t="shared" ref="F21:J21" si="8">F19*F38</f>
        <v>-0.58514581794427256</v>
      </c>
      <c r="G21" s="21">
        <f t="shared" si="8"/>
        <v>-2.452953347225996E-2</v>
      </c>
      <c r="H21" s="21">
        <f t="shared" si="8"/>
        <v>-0.11556539988803585</v>
      </c>
      <c r="I21" s="21">
        <f t="shared" si="8"/>
        <v>-6.6270933949147112E-2</v>
      </c>
      <c r="J21" s="21">
        <f t="shared" si="8"/>
        <v>0.58546873565203794</v>
      </c>
      <c r="K21" s="21">
        <f>K19*K38</f>
        <v>0.97396987157874348</v>
      </c>
      <c r="L21" s="21">
        <f>L19*L38</f>
        <v>1.4507660226122925</v>
      </c>
      <c r="M21" s="21">
        <f>M19*M38</f>
        <v>-0.13911471624975866</v>
      </c>
      <c r="N21" s="237"/>
      <c r="O21" s="237"/>
      <c r="P21" s="237"/>
      <c r="Q21" s="237"/>
    </row>
    <row r="22" spans="2:17" ht="14.4" thickBot="1" x14ac:dyDescent="0.3">
      <c r="B22" s="315"/>
      <c r="C22" s="309"/>
      <c r="D22" s="16">
        <f>$D$16</f>
        <v>44314</v>
      </c>
      <c r="E22" s="22">
        <f>E20*E38</f>
        <v>-0.97838274237191336</v>
      </c>
      <c r="F22" s="22">
        <f>F20*F38</f>
        <v>-0.34070154541659742</v>
      </c>
      <c r="G22" s="22">
        <f t="shared" ref="G22:J22" si="9">G20*G38</f>
        <v>0.23402368294209919</v>
      </c>
      <c r="H22" s="22">
        <f t="shared" si="9"/>
        <v>0.2143810692508272</v>
      </c>
      <c r="I22" s="22">
        <f t="shared" si="9"/>
        <v>0.46656039017309597</v>
      </c>
      <c r="J22" s="22">
        <f t="shared" si="9"/>
        <v>1.2350434151540122</v>
      </c>
      <c r="K22" s="22">
        <f>K20*K38</f>
        <v>1.5617437493940851</v>
      </c>
      <c r="L22" s="22">
        <f>L20*L38</f>
        <v>1.6578291593682439</v>
      </c>
      <c r="M22" s="22">
        <f>M20*M38</f>
        <v>-0.22560495363455582</v>
      </c>
      <c r="N22" s="237"/>
      <c r="O22" s="237"/>
      <c r="P22" s="237"/>
      <c r="Q22" s="237"/>
    </row>
    <row r="23" spans="2:17" ht="17.399999999999999" customHeight="1" thickBot="1" x14ac:dyDescent="0.3">
      <c r="B23" s="310" t="s">
        <v>94</v>
      </c>
      <c r="C23" s="309" t="s">
        <v>95</v>
      </c>
      <c r="D23" s="16">
        <f>$D$15</f>
        <v>44302</v>
      </c>
      <c r="E23" s="21">
        <f>E19*E39</f>
        <v>-0.3182510868289315</v>
      </c>
      <c r="F23" s="21">
        <f>F19*F39</f>
        <v>-0.15325247612826184</v>
      </c>
      <c r="G23" s="21">
        <f t="shared" ref="G23:M23" si="10">G19*G39</f>
        <v>-6.4244016236871312E-3</v>
      </c>
      <c r="H23" s="21">
        <f t="shared" si="10"/>
        <v>-3.0267128542104626E-2</v>
      </c>
      <c r="I23" s="21">
        <f t="shared" si="10"/>
        <v>-1.7356673177157576E-2</v>
      </c>
      <c r="J23" s="21">
        <f t="shared" si="10"/>
        <v>0.15333704981362897</v>
      </c>
      <c r="K23" s="21">
        <f t="shared" si="10"/>
        <v>0.25508734731824234</v>
      </c>
      <c r="L23" s="21">
        <f>L19*L39</f>
        <v>0.3672365119895778</v>
      </c>
      <c r="M23" s="21">
        <f t="shared" si="10"/>
        <v>-3.0681942431024466E-2</v>
      </c>
      <c r="N23" s="237"/>
      <c r="O23" s="237"/>
      <c r="P23" s="237"/>
      <c r="Q23" s="237"/>
    </row>
    <row r="24" spans="2:17" ht="14.4" thickBot="1" x14ac:dyDescent="0.3">
      <c r="B24" s="310"/>
      <c r="C24" s="309"/>
      <c r="D24" s="16">
        <f>$D$16</f>
        <v>44314</v>
      </c>
      <c r="E24" s="22">
        <f>E20*E39</f>
        <v>-0.25624309919264393</v>
      </c>
      <c r="F24" s="22">
        <f>F20*F39</f>
        <v>-8.9231357132918354E-2</v>
      </c>
      <c r="G24" s="22">
        <f t="shared" ref="G24:L24" si="11">G20*G39</f>
        <v>6.1291916961025969E-2</v>
      </c>
      <c r="H24" s="22">
        <f t="shared" si="11"/>
        <v>5.6147422899026161E-2</v>
      </c>
      <c r="I24" s="22">
        <f>I20*I39</f>
        <v>0.1221943879024775</v>
      </c>
      <c r="J24" s="22">
        <f t="shared" si="11"/>
        <v>0.32346375158795554</v>
      </c>
      <c r="K24" s="22">
        <f t="shared" si="11"/>
        <v>0.40902812484130796</v>
      </c>
      <c r="L24" s="22">
        <f t="shared" si="11"/>
        <v>0.41965099021602165</v>
      </c>
      <c r="M24" s="22">
        <f>M20*M39</f>
        <v>-4.975748350837321E-2</v>
      </c>
      <c r="N24" s="237"/>
      <c r="O24" s="237"/>
      <c r="P24" s="237"/>
      <c r="Q24" s="237"/>
    </row>
    <row r="25" spans="2:17" s="23" customFormat="1" ht="15.75" customHeight="1" thickBot="1" x14ac:dyDescent="0.3">
      <c r="B25" s="311" t="s">
        <v>96</v>
      </c>
      <c r="C25" s="313" t="s">
        <v>97</v>
      </c>
      <c r="D25" s="16">
        <f>$D$15</f>
        <v>44302</v>
      </c>
      <c r="E25" s="19"/>
      <c r="F25" s="19"/>
      <c r="G25" s="19"/>
      <c r="H25" s="19"/>
      <c r="I25" s="19"/>
      <c r="J25" s="19"/>
      <c r="K25" s="21">
        <f>K19*K40</f>
        <v>0.1098462261179034</v>
      </c>
      <c r="L25" s="21">
        <f>L19*L40</f>
        <v>0.16362022811416832</v>
      </c>
      <c r="M25" s="21">
        <f>M19*M40</f>
        <v>-1.464365434207986E-2</v>
      </c>
      <c r="N25" s="237"/>
      <c r="O25" s="237"/>
      <c r="P25" s="237"/>
      <c r="Q25" s="237"/>
    </row>
    <row r="26" spans="2:17" s="23" customFormat="1" ht="14.4" thickBot="1" x14ac:dyDescent="0.3">
      <c r="B26" s="312"/>
      <c r="C26" s="314"/>
      <c r="D26" s="16">
        <f>$D$16</f>
        <v>44314</v>
      </c>
      <c r="E26" s="19"/>
      <c r="F26" s="19"/>
      <c r="G26" s="19"/>
      <c r="H26" s="19"/>
      <c r="I26" s="19"/>
      <c r="J26" s="19"/>
      <c r="K26" s="22">
        <f>K20*K40</f>
        <v>0.17613651308955847</v>
      </c>
      <c r="L26" s="22">
        <f>L20*L40</f>
        <v>0.18697321346258389</v>
      </c>
      <c r="M26" s="22">
        <f>M20*M40</f>
        <v>-2.3747889856269036E-2</v>
      </c>
      <c r="N26" s="237"/>
      <c r="O26" s="237"/>
      <c r="P26" s="237"/>
      <c r="Q26" s="237"/>
    </row>
    <row r="27" spans="2:17" ht="14.4" thickBot="1" x14ac:dyDescent="0.3">
      <c r="B27" s="307" t="s">
        <v>98</v>
      </c>
      <c r="C27" s="309" t="s">
        <v>99</v>
      </c>
      <c r="D27" s="16">
        <f>$D$7</f>
        <v>44301</v>
      </c>
      <c r="E27" s="19">
        <f>E7/E11*100</f>
        <v>97.856312294791465</v>
      </c>
      <c r="F27" s="19">
        <f>F7/F11*100</f>
        <v>99.110145640816768</v>
      </c>
      <c r="G27" s="19">
        <f t="shared" ref="F27:M28" si="12">G7/G11*100</f>
        <v>99.936346797943443</v>
      </c>
      <c r="H27" s="19">
        <f t="shared" si="12"/>
        <v>100</v>
      </c>
      <c r="I27" s="19">
        <f t="shared" si="12"/>
        <v>101.57627773830917</v>
      </c>
      <c r="J27" s="19">
        <f t="shared" si="12"/>
        <v>105.88664028452639</v>
      </c>
      <c r="K27" s="19">
        <f t="shared" si="12"/>
        <v>109.62291976924077</v>
      </c>
      <c r="L27" s="19">
        <f t="shared" si="12"/>
        <v>112.7002383459897</v>
      </c>
      <c r="M27" s="19">
        <f t="shared" si="12"/>
        <v>113.62762038274705</v>
      </c>
      <c r="N27" s="237"/>
      <c r="O27" s="237"/>
      <c r="P27" s="237"/>
      <c r="Q27" s="237"/>
    </row>
    <row r="28" spans="2:17" ht="14.4" thickBot="1" x14ac:dyDescent="0.3">
      <c r="B28" s="308"/>
      <c r="C28" s="309"/>
      <c r="D28" s="16">
        <f>$D$8</f>
        <v>44301</v>
      </c>
      <c r="E28" s="19">
        <f t="shared" ref="E28" si="13">E8/E12*100</f>
        <v>97.856312294791465</v>
      </c>
      <c r="F28" s="19">
        <f t="shared" si="12"/>
        <v>99.110145640816768</v>
      </c>
      <c r="G28" s="19">
        <f>G8/G12*100</f>
        <v>99.936346797943443</v>
      </c>
      <c r="H28" s="19">
        <f t="shared" si="12"/>
        <v>100</v>
      </c>
      <c r="I28" s="19">
        <f t="shared" si="12"/>
        <v>101.57627773830917</v>
      </c>
      <c r="J28" s="19">
        <f t="shared" si="12"/>
        <v>105.88664028452639</v>
      </c>
      <c r="K28" s="19">
        <f t="shared" si="12"/>
        <v>109.62291976924077</v>
      </c>
      <c r="L28" s="19">
        <f t="shared" si="12"/>
        <v>112.7002383459897</v>
      </c>
      <c r="M28" s="19">
        <f>M8/M12*100</f>
        <v>113.62762038274705</v>
      </c>
      <c r="N28" s="237"/>
      <c r="O28" s="237"/>
      <c r="P28" s="237"/>
      <c r="Q28" s="237"/>
    </row>
    <row r="29" spans="2:17" ht="14.4" thickBot="1" x14ac:dyDescent="0.3">
      <c r="B29" s="307" t="s">
        <v>100</v>
      </c>
      <c r="C29" s="309" t="s">
        <v>101</v>
      </c>
      <c r="D29" s="16">
        <f>$D$7</f>
        <v>44301</v>
      </c>
      <c r="E29" s="19"/>
      <c r="F29" s="19">
        <f>(F27/E27-1)*100</f>
        <v>1.2813004257182126</v>
      </c>
      <c r="G29" s="19">
        <f>(G27/F27-1)*100</f>
        <v>0.83361915350310678</v>
      </c>
      <c r="H29" s="19">
        <f t="shared" ref="H29:L30" si="14">(H27/G27-1)*100</f>
        <v>6.3693745164861149E-2</v>
      </c>
      <c r="I29" s="19">
        <f t="shared" si="14"/>
        <v>1.5762777383091731</v>
      </c>
      <c r="J29" s="19">
        <f t="shared" si="14"/>
        <v>4.2434736162728859</v>
      </c>
      <c r="K29" s="19">
        <f t="shared" si="14"/>
        <v>3.5285655250508308</v>
      </c>
      <c r="L29" s="19">
        <f t="shared" si="14"/>
        <v>2.8071853798701696</v>
      </c>
      <c r="M29" s="19">
        <f>(M27/L27-1)*100</f>
        <v>0.82287495604960181</v>
      </c>
      <c r="N29" s="237"/>
      <c r="O29" s="237"/>
      <c r="P29" s="237"/>
      <c r="Q29" s="237"/>
    </row>
    <row r="30" spans="2:17" ht="14.4" thickBot="1" x14ac:dyDescent="0.3">
      <c r="B30" s="308"/>
      <c r="C30" s="309"/>
      <c r="D30" s="16">
        <f>$D$8</f>
        <v>44301</v>
      </c>
      <c r="E30" s="19"/>
      <c r="F30" s="19">
        <f t="shared" ref="F30:J30" si="15">(F28/E28-1)*100</f>
        <v>1.2813004257182126</v>
      </c>
      <c r="G30" s="19">
        <f t="shared" si="15"/>
        <v>0.83361915350310678</v>
      </c>
      <c r="H30" s="19">
        <f t="shared" si="15"/>
        <v>6.3693745164861149E-2</v>
      </c>
      <c r="I30" s="19">
        <f t="shared" si="15"/>
        <v>1.5762777383091731</v>
      </c>
      <c r="J30" s="19">
        <f t="shared" si="15"/>
        <v>4.2434736162728859</v>
      </c>
      <c r="K30" s="19">
        <f t="shared" si="14"/>
        <v>3.5285655250508308</v>
      </c>
      <c r="L30" s="19">
        <f>(L28/K28-1)*100</f>
        <v>2.8071853798701696</v>
      </c>
      <c r="M30" s="19">
        <f>(M28/L28-1)*100</f>
        <v>0.82287495604960181</v>
      </c>
      <c r="N30" s="237"/>
      <c r="O30" s="237"/>
      <c r="P30" s="237"/>
      <c r="Q30" s="237"/>
    </row>
    <row r="31" spans="2:17" ht="28.8" thickBot="1" x14ac:dyDescent="0.3">
      <c r="B31" s="214" t="s">
        <v>102</v>
      </c>
      <c r="C31" s="215" t="s">
        <v>103</v>
      </c>
      <c r="D31" s="16">
        <f>$D$8</f>
        <v>44301</v>
      </c>
      <c r="E31" s="17">
        <v>3.2</v>
      </c>
      <c r="F31" s="17">
        <v>1.2</v>
      </c>
      <c r="G31" s="17">
        <v>0.2</v>
      </c>
      <c r="H31" s="17">
        <v>-0.7</v>
      </c>
      <c r="I31" s="17">
        <v>0.7</v>
      </c>
      <c r="J31" s="17">
        <v>3.7</v>
      </c>
      <c r="K31" s="17">
        <v>2.5</v>
      </c>
      <c r="L31" s="17">
        <v>2.2000000000000002</v>
      </c>
      <c r="M31" s="17">
        <v>1.1000000000000001</v>
      </c>
      <c r="N31" s="237"/>
      <c r="O31" s="237"/>
      <c r="P31" s="237"/>
      <c r="Q31" s="237"/>
    </row>
    <row r="32" spans="2:17" ht="28.8" thickBot="1" x14ac:dyDescent="0.3">
      <c r="B32" s="214" t="s">
        <v>104</v>
      </c>
      <c r="C32" s="215" t="s">
        <v>105</v>
      </c>
      <c r="D32" s="16">
        <v>44301</v>
      </c>
      <c r="E32" s="17">
        <v>11388.518199999999</v>
      </c>
      <c r="F32" s="17">
        <v>11517.118699999999</v>
      </c>
      <c r="G32" s="17">
        <v>11781.64</v>
      </c>
      <c r="H32" s="17">
        <v>12211.5429</v>
      </c>
      <c r="I32" s="17">
        <v>12551.0016</v>
      </c>
      <c r="J32" s="17">
        <v>13069.7266</v>
      </c>
      <c r="K32" s="17">
        <v>13518.572199999999</v>
      </c>
      <c r="L32" s="17">
        <v>13965.2701</v>
      </c>
      <c r="M32" s="17">
        <v>13297.246499999999</v>
      </c>
      <c r="N32" s="237"/>
      <c r="O32" s="237"/>
      <c r="P32" s="237"/>
      <c r="Q32" s="237"/>
    </row>
    <row r="33" spans="2:17" ht="29.25" customHeight="1" thickBot="1" x14ac:dyDescent="0.3">
      <c r="B33" s="214" t="s">
        <v>106</v>
      </c>
      <c r="C33" s="215" t="s">
        <v>107</v>
      </c>
      <c r="D33" s="16">
        <f>$D$32</f>
        <v>44301</v>
      </c>
      <c r="E33" s="19"/>
      <c r="F33" s="18">
        <f>(F32/E32-1)*100</f>
        <v>1.1292118758698511</v>
      </c>
      <c r="G33" s="18">
        <f>(G32/F32-1)*100</f>
        <v>2.2967662910342357</v>
      </c>
      <c r="H33" s="18">
        <f t="shared" ref="H33:J33" si="16">(H32/G32-1)*100</f>
        <v>3.6489223911102542</v>
      </c>
      <c r="I33" s="18">
        <f t="shared" si="16"/>
        <v>2.7798182652251091</v>
      </c>
      <c r="J33" s="18">
        <f t="shared" si="16"/>
        <v>4.1329370876663774</v>
      </c>
      <c r="K33" s="18">
        <f>(K32/J32-1)*100</f>
        <v>3.4342386320460605</v>
      </c>
      <c r="L33" s="18">
        <f>(L32/K32-1)*100</f>
        <v>3.3043275087882407</v>
      </c>
      <c r="M33" s="18">
        <f>(M32/L32-1)*100</f>
        <v>-4.783463514966324</v>
      </c>
      <c r="N33" s="237"/>
      <c r="O33" s="237"/>
      <c r="P33" s="237"/>
      <c r="Q33" s="237"/>
    </row>
    <row r="34" spans="2:17" s="25" customFormat="1" ht="14.4" thickBot="1" x14ac:dyDescent="0.3">
      <c r="B34" s="311" t="s">
        <v>108</v>
      </c>
      <c r="C34" s="313" t="s">
        <v>109</v>
      </c>
      <c r="D34" s="16">
        <v>44316</v>
      </c>
      <c r="E34" s="17">
        <v>-1049.2349999999999</v>
      </c>
      <c r="F34" s="17">
        <v>-913.02700000000004</v>
      </c>
      <c r="G34" s="17">
        <v>-226.19300000000001</v>
      </c>
      <c r="H34" s="17">
        <v>-100.74</v>
      </c>
      <c r="I34" s="17">
        <v>90.33</v>
      </c>
      <c r="J34" s="17">
        <v>203.624</v>
      </c>
      <c r="K34" s="17">
        <v>282.93</v>
      </c>
      <c r="L34" s="17">
        <v>224.15</v>
      </c>
      <c r="M34" s="17">
        <v>-3598.25</v>
      </c>
      <c r="N34" s="237"/>
      <c r="O34" s="237"/>
      <c r="P34" s="237"/>
      <c r="Q34" s="237"/>
    </row>
    <row r="35" spans="2:17" s="25" customFormat="1" ht="14.4" thickBot="1" x14ac:dyDescent="0.3">
      <c r="B35" s="326"/>
      <c r="C35" s="314"/>
      <c r="D35" s="16">
        <v>44316</v>
      </c>
      <c r="E35" s="17">
        <v>-1049.2349999999999</v>
      </c>
      <c r="F35" s="17">
        <v>-913.02700000000004</v>
      </c>
      <c r="G35" s="17">
        <v>-226.19300000000001</v>
      </c>
      <c r="H35" s="17">
        <v>-100.74</v>
      </c>
      <c r="I35" s="17">
        <v>90.33</v>
      </c>
      <c r="J35" s="17">
        <v>203.624</v>
      </c>
      <c r="K35" s="17">
        <v>282.93</v>
      </c>
      <c r="L35" s="17">
        <v>224.15</v>
      </c>
      <c r="M35" s="17">
        <v>-3598.25</v>
      </c>
      <c r="N35" s="237"/>
      <c r="O35" s="237"/>
      <c r="P35" s="237"/>
      <c r="Q35" s="237"/>
    </row>
    <row r="36" spans="2:17" ht="14.4" thickBot="1" x14ac:dyDescent="0.3">
      <c r="B36" s="307" t="s">
        <v>110</v>
      </c>
      <c r="C36" s="309" t="s">
        <v>111</v>
      </c>
      <c r="D36" s="16">
        <f>+D34</f>
        <v>44316</v>
      </c>
      <c r="E36" s="19"/>
      <c r="F36" s="19">
        <f t="shared" ref="F36:L37" si="17">F34/F7*100</f>
        <v>-2.6057078440046237</v>
      </c>
      <c r="G36" s="19">
        <f t="shared" si="17"/>
        <v>-0.61832958369440127</v>
      </c>
      <c r="H36" s="19">
        <f t="shared" si="17"/>
        <v>-0.26974993104962552</v>
      </c>
      <c r="I36" s="19">
        <f t="shared" si="17"/>
        <v>0.23227110380844382</v>
      </c>
      <c r="J36" s="19">
        <f t="shared" si="17"/>
        <v>0.48165047556195784</v>
      </c>
      <c r="K36" s="19">
        <f>K34/K7*100</f>
        <v>0.62194583116257907</v>
      </c>
      <c r="L36" s="19">
        <f t="shared" si="17"/>
        <v>0.45934824396381779</v>
      </c>
      <c r="M36" s="19">
        <f>M34/M7*100</f>
        <v>-7.3743395731459893</v>
      </c>
      <c r="N36" s="237"/>
      <c r="O36" s="237"/>
      <c r="P36" s="237"/>
      <c r="Q36" s="237"/>
    </row>
    <row r="37" spans="2:17" ht="14.4" thickBot="1" x14ac:dyDescent="0.3">
      <c r="B37" s="308"/>
      <c r="C37" s="309"/>
      <c r="D37" s="16">
        <f>D8</f>
        <v>44301</v>
      </c>
      <c r="E37" s="19"/>
      <c r="F37" s="19">
        <f t="shared" si="17"/>
        <v>-2.6057078440046237</v>
      </c>
      <c r="G37" s="19">
        <f t="shared" si="17"/>
        <v>-0.61832958369440127</v>
      </c>
      <c r="H37" s="19">
        <f t="shared" si="17"/>
        <v>-0.26974993104962552</v>
      </c>
      <c r="I37" s="19">
        <f t="shared" si="17"/>
        <v>0.23227110380844382</v>
      </c>
      <c r="J37" s="19">
        <f>J35/J8*100</f>
        <v>0.48165047556195784</v>
      </c>
      <c r="K37" s="19">
        <f>K35/K8*100</f>
        <v>0.62194583116257907</v>
      </c>
      <c r="L37" s="19">
        <f>L35/L8*100</f>
        <v>0.45934824396381779</v>
      </c>
      <c r="M37" s="19">
        <f>M35/M8*100</f>
        <v>-7.3743395731459893</v>
      </c>
      <c r="N37" s="237"/>
      <c r="O37" s="237"/>
      <c r="P37" s="237"/>
      <c r="Q37" s="237"/>
    </row>
    <row r="38" spans="2:17" ht="36.75" customHeight="1" thickBot="1" x14ac:dyDescent="0.3">
      <c r="B38" s="214" t="s">
        <v>112</v>
      </c>
      <c r="C38" s="220" t="s">
        <v>113</v>
      </c>
      <c r="D38" s="16">
        <v>43910</v>
      </c>
      <c r="E38" s="27">
        <v>0.39900000000000002</v>
      </c>
      <c r="F38" s="27">
        <v>0.39900000000000002</v>
      </c>
      <c r="G38" s="27">
        <v>0.39900000000000002</v>
      </c>
      <c r="H38" s="27">
        <v>0.39900000000000002</v>
      </c>
      <c r="I38" s="27">
        <v>0.39900000000000002</v>
      </c>
      <c r="J38" s="27">
        <v>0.39900000000000002</v>
      </c>
      <c r="K38" s="27">
        <v>0.39900000000000002</v>
      </c>
      <c r="L38" s="27">
        <v>0.39900000000000002</v>
      </c>
      <c r="M38" s="27">
        <v>0.39900000000000002</v>
      </c>
      <c r="N38" s="237"/>
      <c r="O38" s="237"/>
      <c r="P38" s="237"/>
      <c r="Q38" s="237"/>
    </row>
    <row r="39" spans="2:17" ht="36.75" customHeight="1" thickBot="1" x14ac:dyDescent="0.3">
      <c r="B39" s="214" t="s">
        <v>114</v>
      </c>
      <c r="C39" s="220" t="s">
        <v>115</v>
      </c>
      <c r="D39" s="16">
        <f>D26</f>
        <v>44314</v>
      </c>
      <c r="E39" s="22">
        <v>0.1045</v>
      </c>
      <c r="F39" s="22">
        <v>0.1045</v>
      </c>
      <c r="G39" s="22">
        <v>0.1045</v>
      </c>
      <c r="H39" s="22">
        <v>0.1045</v>
      </c>
      <c r="I39" s="22">
        <v>0.1045</v>
      </c>
      <c r="J39" s="22">
        <v>0.1045</v>
      </c>
      <c r="K39" s="22">
        <v>0.1045</v>
      </c>
      <c r="L39" s="22">
        <v>0.10100000000000001</v>
      </c>
      <c r="M39" s="22">
        <v>8.7999999999999995E-2</v>
      </c>
      <c r="N39" s="237"/>
      <c r="O39" s="237"/>
      <c r="P39" s="237"/>
      <c r="Q39" s="237"/>
    </row>
    <row r="40" spans="2:17" ht="36.75" customHeight="1" thickBot="1" x14ac:dyDescent="0.3">
      <c r="B40" s="216" t="s">
        <v>116</v>
      </c>
      <c r="C40" s="215" t="s">
        <v>117</v>
      </c>
      <c r="D40" s="16">
        <f>D26</f>
        <v>44314</v>
      </c>
      <c r="E40" s="28"/>
      <c r="F40" s="28"/>
      <c r="G40" s="28"/>
      <c r="H40" s="28"/>
      <c r="I40" s="28"/>
      <c r="J40" s="28"/>
      <c r="K40" s="20">
        <v>4.4999999999999998E-2</v>
      </c>
      <c r="L40" s="20">
        <v>4.4999999999999998E-2</v>
      </c>
      <c r="M40" s="20">
        <v>4.2000000000000003E-2</v>
      </c>
      <c r="N40" s="237"/>
      <c r="O40" s="237"/>
      <c r="P40" s="237"/>
      <c r="Q40" s="237"/>
    </row>
    <row r="41" spans="2:17" x14ac:dyDescent="0.25">
      <c r="B41" s="29"/>
      <c r="C41" s="29"/>
      <c r="D41" s="29"/>
      <c r="E41" s="29"/>
    </row>
    <row r="42" spans="2:17" ht="15" thickBot="1" x14ac:dyDescent="0.35">
      <c r="C42" s="10" t="s">
        <v>51</v>
      </c>
      <c r="E42" s="305" t="s">
        <v>52</v>
      </c>
      <c r="F42" s="305"/>
      <c r="G42" s="305"/>
      <c r="H42" s="305"/>
      <c r="I42" s="305"/>
      <c r="J42" s="305"/>
      <c r="N42" s="239"/>
    </row>
    <row r="43" spans="2:17" ht="15" thickBot="1" x14ac:dyDescent="0.35">
      <c r="C43" s="10" t="s">
        <v>118</v>
      </c>
      <c r="D43" s="30"/>
      <c r="E43" s="306" t="s">
        <v>119</v>
      </c>
      <c r="F43" s="305"/>
      <c r="G43" s="305"/>
      <c r="H43" s="305"/>
      <c r="I43" s="305"/>
      <c r="J43" s="305"/>
      <c r="K43" s="24"/>
      <c r="L43" s="24"/>
    </row>
    <row r="44" spans="2:17" ht="15" thickBot="1" x14ac:dyDescent="0.35">
      <c r="B44" s="10" t="s">
        <v>318</v>
      </c>
      <c r="C44" s="10" t="s">
        <v>120</v>
      </c>
      <c r="D44" s="31"/>
      <c r="E44" s="306" t="s">
        <v>121</v>
      </c>
      <c r="F44" s="305"/>
      <c r="G44" s="305"/>
      <c r="H44" s="305"/>
      <c r="I44" s="305"/>
      <c r="J44" s="305"/>
      <c r="K44" s="24"/>
      <c r="L44" s="24"/>
    </row>
    <row r="45" spans="2:17" ht="15" customHeight="1" thickBot="1" x14ac:dyDescent="0.35">
      <c r="B45" s="10"/>
      <c r="C45" s="10" t="s">
        <v>122</v>
      </c>
      <c r="D45" s="32"/>
      <c r="E45" s="323" t="s">
        <v>123</v>
      </c>
      <c r="F45" s="324"/>
      <c r="G45" s="324"/>
      <c r="H45" s="324"/>
      <c r="I45" s="324"/>
      <c r="J45" s="324"/>
      <c r="K45" s="324"/>
      <c r="L45" s="324"/>
    </row>
    <row r="46" spans="2:17" ht="15" thickBot="1" x14ac:dyDescent="0.35">
      <c r="C46" s="10" t="s">
        <v>124</v>
      </c>
      <c r="E46" s="305" t="s">
        <v>125</v>
      </c>
      <c r="F46" s="305"/>
      <c r="G46" s="305"/>
      <c r="H46" s="305"/>
      <c r="I46" s="305"/>
      <c r="J46" s="305"/>
    </row>
    <row r="47" spans="2:17" ht="14.4" thickBot="1" x14ac:dyDescent="0.3">
      <c r="C47" s="33" t="s">
        <v>126</v>
      </c>
      <c r="D47" s="34"/>
      <c r="E47" s="316" t="s">
        <v>127</v>
      </c>
      <c r="F47" s="317"/>
      <c r="G47" s="317"/>
      <c r="H47" s="317"/>
      <c r="I47" s="317"/>
      <c r="J47" s="317"/>
    </row>
    <row r="48" spans="2:17" x14ac:dyDescent="0.25">
      <c r="C48" s="36" t="s">
        <v>128</v>
      </c>
      <c r="D48" s="37">
        <v>4.9999999999999899E-2</v>
      </c>
      <c r="F48" s="35"/>
    </row>
    <row r="49" spans="6:17" x14ac:dyDescent="0.25">
      <c r="F49" s="35"/>
    </row>
    <row r="50" spans="6:17" x14ac:dyDescent="0.25">
      <c r="F50" s="35"/>
    </row>
    <row r="51" spans="6:17" x14ac:dyDescent="0.25">
      <c r="F51" s="35"/>
      <c r="K51" s="38"/>
      <c r="L51" s="38"/>
    </row>
    <row r="52" spans="6:17" x14ac:dyDescent="0.25">
      <c r="F52" s="35"/>
      <c r="K52" s="38"/>
      <c r="L52" s="38"/>
    </row>
    <row r="53" spans="6:17" x14ac:dyDescent="0.25">
      <c r="F53" s="35"/>
      <c r="K53" s="38"/>
      <c r="L53" s="38"/>
      <c r="Q53" s="240"/>
    </row>
    <row r="54" spans="6:17" x14ac:dyDescent="0.25">
      <c r="F54" s="35"/>
      <c r="K54" s="38"/>
      <c r="L54" s="38"/>
      <c r="Q54" s="240"/>
    </row>
    <row r="55" spans="6:17" x14ac:dyDescent="0.25">
      <c r="F55" s="35"/>
      <c r="K55" s="38"/>
      <c r="L55" s="38"/>
      <c r="Q55" s="240"/>
    </row>
    <row r="56" spans="6:17" x14ac:dyDescent="0.25">
      <c r="K56" s="38"/>
      <c r="L56" s="38"/>
      <c r="Q56" s="240"/>
    </row>
    <row r="57" spans="6:17" x14ac:dyDescent="0.25">
      <c r="K57" s="38"/>
      <c r="L57" s="38"/>
      <c r="Q57" s="240"/>
    </row>
    <row r="58" spans="6:17" x14ac:dyDescent="0.25">
      <c r="K58" s="38"/>
      <c r="L58" s="38"/>
      <c r="Q58" s="240"/>
    </row>
    <row r="59" spans="6:17" x14ac:dyDescent="0.25">
      <c r="K59" s="38"/>
      <c r="L59" s="38"/>
      <c r="Q59" s="240"/>
    </row>
    <row r="60" spans="6:17" x14ac:dyDescent="0.25">
      <c r="K60" s="38"/>
      <c r="L60" s="38"/>
      <c r="Q60" s="240"/>
    </row>
    <row r="61" spans="6:17" x14ac:dyDescent="0.25">
      <c r="K61" s="38"/>
      <c r="L61" s="38"/>
      <c r="Q61" s="240"/>
    </row>
    <row r="62" spans="6:17" x14ac:dyDescent="0.25">
      <c r="K62" s="38"/>
      <c r="L62" s="38"/>
      <c r="N62" s="240"/>
    </row>
  </sheetData>
  <mergeCells count="40">
    <mergeCell ref="E45:L45"/>
    <mergeCell ref="N4:Q4"/>
    <mergeCell ref="C27:C28"/>
    <mergeCell ref="B36:B37"/>
    <mergeCell ref="C36:C37"/>
    <mergeCell ref="B29:B30"/>
    <mergeCell ref="C29:C30"/>
    <mergeCell ref="B34:B35"/>
    <mergeCell ref="C34:C35"/>
    <mergeCell ref="E46:J46"/>
    <mergeCell ref="E47:J47"/>
    <mergeCell ref="B4:B5"/>
    <mergeCell ref="C4:C5"/>
    <mergeCell ref="E4:M4"/>
    <mergeCell ref="B9:B10"/>
    <mergeCell ref="C9:C10"/>
    <mergeCell ref="D4:D5"/>
    <mergeCell ref="B7:B8"/>
    <mergeCell ref="C7:C8"/>
    <mergeCell ref="B15:B16"/>
    <mergeCell ref="C15:C16"/>
    <mergeCell ref="B17:B18"/>
    <mergeCell ref="C17:C18"/>
    <mergeCell ref="B11:B12"/>
    <mergeCell ref="C11:C12"/>
    <mergeCell ref="B3:Q3"/>
    <mergeCell ref="E42:J42"/>
    <mergeCell ref="E43:J43"/>
    <mergeCell ref="E44:J44"/>
    <mergeCell ref="B13:B14"/>
    <mergeCell ref="C13:C14"/>
    <mergeCell ref="B23:B24"/>
    <mergeCell ref="C23:C24"/>
    <mergeCell ref="B25:B26"/>
    <mergeCell ref="C25:C26"/>
    <mergeCell ref="B19:B20"/>
    <mergeCell ref="C19:C20"/>
    <mergeCell ref="B21:B22"/>
    <mergeCell ref="C21:C22"/>
    <mergeCell ref="B27:B28"/>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5"/>
  </sheetPr>
  <dimension ref="A1:M42"/>
  <sheetViews>
    <sheetView showGridLines="0" showRowColHeaders="0" zoomScaleNormal="100" workbookViewId="0"/>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9" x14ac:dyDescent="0.25">
      <c r="B1" s="230" t="s">
        <v>19</v>
      </c>
      <c r="C1" s="3"/>
      <c r="D1" s="3"/>
      <c r="E1" s="3"/>
      <c r="F1" s="3"/>
      <c r="G1" s="3"/>
      <c r="H1" s="3"/>
    </row>
    <row r="2" spans="1:9" ht="14.4" thickBot="1" x14ac:dyDescent="0.3">
      <c r="A2" s="12"/>
    </row>
    <row r="3" spans="1:9" ht="34.200000000000003" customHeight="1" thickBot="1" x14ac:dyDescent="0.3">
      <c r="B3" s="327" t="s">
        <v>129</v>
      </c>
      <c r="C3" s="328"/>
      <c r="D3" s="242"/>
      <c r="E3" s="242"/>
      <c r="F3" s="242"/>
      <c r="G3" s="242"/>
      <c r="H3" s="243"/>
    </row>
    <row r="4" spans="1:9" ht="21.75" customHeight="1" thickBot="1" x14ac:dyDescent="0.3">
      <c r="B4" s="329" t="s">
        <v>58</v>
      </c>
      <c r="C4" s="329" t="s">
        <v>130</v>
      </c>
      <c r="D4" s="329" t="s">
        <v>131</v>
      </c>
      <c r="E4" s="332" t="s">
        <v>24</v>
      </c>
      <c r="F4" s="333"/>
      <c r="G4" s="337" t="s">
        <v>25</v>
      </c>
      <c r="H4" s="338"/>
    </row>
    <row r="5" spans="1:9" ht="14.4" thickBot="1" x14ac:dyDescent="0.3">
      <c r="B5" s="330"/>
      <c r="C5" s="331"/>
      <c r="D5" s="331"/>
      <c r="E5" s="93">
        <v>2019</v>
      </c>
      <c r="F5" s="9">
        <v>2020</v>
      </c>
      <c r="G5" s="94">
        <v>2019</v>
      </c>
      <c r="H5" s="95">
        <v>2020</v>
      </c>
    </row>
    <row r="6" spans="1:9" ht="28.8" thickBot="1" x14ac:dyDescent="0.3">
      <c r="B6" s="214" t="s">
        <v>132</v>
      </c>
      <c r="C6" s="218"/>
      <c r="D6" s="109" t="s">
        <v>133</v>
      </c>
      <c r="E6" s="96">
        <f>'2. Macro'!L8</f>
        <v>48797.4</v>
      </c>
      <c r="F6" s="96">
        <f>'2. Macro'!M8</f>
        <v>48794.2</v>
      </c>
      <c r="G6" s="96">
        <f>'2. Macro'!L7</f>
        <v>48797.4</v>
      </c>
      <c r="H6" s="112">
        <f>'2. Macro'!M7</f>
        <v>48794.2</v>
      </c>
    </row>
    <row r="7" spans="1:9" s="23" customFormat="1" ht="14.4" thickBot="1" x14ac:dyDescent="0.3">
      <c r="B7" s="311" t="s">
        <v>134</v>
      </c>
      <c r="C7" s="334" t="s">
        <v>135</v>
      </c>
      <c r="D7" s="164" t="s">
        <v>133</v>
      </c>
      <c r="E7" s="96">
        <f>E13-E15</f>
        <v>224.15000000000146</v>
      </c>
      <c r="F7" s="96">
        <f>F13-F15</f>
        <v>-3598.25</v>
      </c>
      <c r="G7" s="96">
        <f>G13-G15</f>
        <v>224.15000000000146</v>
      </c>
      <c r="H7" s="112">
        <f>H13-H15</f>
        <v>-3598.25</v>
      </c>
    </row>
    <row r="8" spans="1:9" s="23" customFormat="1" ht="14.4" thickBot="1" x14ac:dyDescent="0.3">
      <c r="B8" s="312"/>
      <c r="C8" s="335"/>
      <c r="D8" s="164" t="s">
        <v>136</v>
      </c>
      <c r="E8" s="96">
        <f>E7/$E$6*100</f>
        <v>0.45934824396382073</v>
      </c>
      <c r="F8" s="96">
        <f>F7/$F$6*100</f>
        <v>-7.3743395731459893</v>
      </c>
      <c r="G8" s="96">
        <f>G7/$G$6*100</f>
        <v>0.45934824396382073</v>
      </c>
      <c r="H8" s="112">
        <f>H7/$H$6*100</f>
        <v>-7.3743395731459893</v>
      </c>
    </row>
    <row r="9" spans="1:9" s="23" customFormat="1" ht="14.4" thickBot="1" x14ac:dyDescent="0.3">
      <c r="B9" s="339" t="s">
        <v>137</v>
      </c>
      <c r="C9" s="334" t="s">
        <v>138</v>
      </c>
      <c r="D9" s="164" t="s">
        <v>133</v>
      </c>
      <c r="E9" s="100">
        <v>277.39999999999998</v>
      </c>
      <c r="F9" s="100">
        <v>242.36670599999832</v>
      </c>
      <c r="G9" s="96">
        <f>E9</f>
        <v>277.39999999999998</v>
      </c>
      <c r="H9" s="112">
        <f>F9</f>
        <v>242.36670599999832</v>
      </c>
    </row>
    <row r="10" spans="1:9" s="23" customFormat="1" ht="14.4" thickBot="1" x14ac:dyDescent="0.3">
      <c r="B10" s="340"/>
      <c r="C10" s="335"/>
      <c r="D10" s="164" t="s">
        <v>136</v>
      </c>
      <c r="E10" s="96">
        <f>E9/$E$6*100</f>
        <v>0.5684729104419497</v>
      </c>
      <c r="F10" s="96">
        <f>F9/$F$6*100</f>
        <v>0.49671212152263661</v>
      </c>
      <c r="G10" s="96">
        <f>G9/$G$6*100</f>
        <v>0.5684729104419497</v>
      </c>
      <c r="H10" s="112">
        <f>H9/$H$6*100</f>
        <v>0.49671212152263661</v>
      </c>
      <c r="I10" s="40"/>
    </row>
    <row r="11" spans="1:9" s="23" customFormat="1" ht="14.4" thickBot="1" x14ac:dyDescent="0.3">
      <c r="B11" s="339" t="s">
        <v>139</v>
      </c>
      <c r="C11" s="334" t="s">
        <v>140</v>
      </c>
      <c r="D11" s="164" t="s">
        <v>133</v>
      </c>
      <c r="E11" s="100">
        <v>30.8421939208542</v>
      </c>
      <c r="F11" s="100">
        <v>33.933294000002199</v>
      </c>
      <c r="G11" s="96">
        <f>E11</f>
        <v>30.8421939208542</v>
      </c>
      <c r="H11" s="112">
        <f>F11</f>
        <v>33.933294000002199</v>
      </c>
      <c r="I11" s="40"/>
    </row>
    <row r="12" spans="1:9" s="23" customFormat="1" ht="14.4" thickBot="1" x14ac:dyDescent="0.3">
      <c r="B12" s="340"/>
      <c r="C12" s="335"/>
      <c r="D12" s="164" t="s">
        <v>136</v>
      </c>
      <c r="E12" s="96">
        <f>E11/$E$6*100</f>
        <v>6.3204584508302089E-2</v>
      </c>
      <c r="F12" s="96">
        <f>F11/$F$6*100</f>
        <v>6.954370396482E-2</v>
      </c>
      <c r="G12" s="96">
        <f>G11/$G$6*100</f>
        <v>6.3204584508302089E-2</v>
      </c>
      <c r="H12" s="112">
        <f>H11/$H$6*100</f>
        <v>6.954370396482E-2</v>
      </c>
    </row>
    <row r="13" spans="1:9" s="23" customFormat="1" ht="14.4" thickBot="1" x14ac:dyDescent="0.3">
      <c r="B13" s="311" t="s">
        <v>141</v>
      </c>
      <c r="C13" s="313" t="s">
        <v>142</v>
      </c>
      <c r="D13" s="164" t="s">
        <v>133</v>
      </c>
      <c r="E13" s="100">
        <v>17124.196</v>
      </c>
      <c r="F13" s="100">
        <v>17614.527999999998</v>
      </c>
      <c r="G13" s="96">
        <f>E13</f>
        <v>17124.196</v>
      </c>
      <c r="H13" s="112">
        <f>F13</f>
        <v>17614.527999999998</v>
      </c>
    </row>
    <row r="14" spans="1:9" s="23" customFormat="1" ht="14.4" thickBot="1" x14ac:dyDescent="0.3">
      <c r="B14" s="326"/>
      <c r="C14" s="314"/>
      <c r="D14" s="164" t="s">
        <v>136</v>
      </c>
      <c r="E14" s="96">
        <f>E13/$E$6*100</f>
        <v>35.092435252697889</v>
      </c>
      <c r="F14" s="96">
        <f>F13/$F$6*100</f>
        <v>36.099634792659785</v>
      </c>
      <c r="G14" s="96">
        <f>G13/$G$6*100</f>
        <v>35.092435252697889</v>
      </c>
      <c r="H14" s="112">
        <f>H13/$H$6*100</f>
        <v>36.099634792659785</v>
      </c>
    </row>
    <row r="15" spans="1:9" s="23" customFormat="1" ht="14.4" thickBot="1" x14ac:dyDescent="0.3">
      <c r="B15" s="311" t="s">
        <v>143</v>
      </c>
      <c r="C15" s="313" t="s">
        <v>144</v>
      </c>
      <c r="D15" s="164" t="s">
        <v>133</v>
      </c>
      <c r="E15" s="100">
        <v>16900.045999999998</v>
      </c>
      <c r="F15" s="100">
        <v>21212.777999999998</v>
      </c>
      <c r="G15" s="96">
        <f>E15</f>
        <v>16900.045999999998</v>
      </c>
      <c r="H15" s="112">
        <f>F15</f>
        <v>21212.777999999998</v>
      </c>
    </row>
    <row r="16" spans="1:9" s="23" customFormat="1" ht="14.4" thickBot="1" x14ac:dyDescent="0.3">
      <c r="B16" s="326"/>
      <c r="C16" s="314"/>
      <c r="D16" s="164" t="s">
        <v>136</v>
      </c>
      <c r="E16" s="96">
        <f>E15/$E$6*100</f>
        <v>34.633087008734073</v>
      </c>
      <c r="F16" s="96">
        <f>F15/$F$6*100</f>
        <v>43.473974365805773</v>
      </c>
      <c r="G16" s="96">
        <f>G15/$G$6*100</f>
        <v>34.633087008734073</v>
      </c>
      <c r="H16" s="112">
        <f>H15/$H$6*100</f>
        <v>43.473974365805773</v>
      </c>
    </row>
    <row r="17" spans="2:8" s="23" customFormat="1" ht="14.4" thickBot="1" x14ac:dyDescent="0.3">
      <c r="B17" s="339" t="s">
        <v>145</v>
      </c>
      <c r="C17" s="313" t="s">
        <v>146</v>
      </c>
      <c r="D17" s="164" t="s">
        <v>133</v>
      </c>
      <c r="E17" s="100">
        <v>8894.1376999999993</v>
      </c>
      <c r="F17" s="100">
        <v>10754.433999999999</v>
      </c>
      <c r="G17" s="96">
        <f>E17</f>
        <v>8894.1376999999993</v>
      </c>
      <c r="H17" s="112">
        <f>F17</f>
        <v>10754.433999999999</v>
      </c>
    </row>
    <row r="18" spans="2:8" s="23" customFormat="1" ht="14.4" thickBot="1" x14ac:dyDescent="0.3">
      <c r="B18" s="340"/>
      <c r="C18" s="314"/>
      <c r="D18" s="164" t="s">
        <v>136</v>
      </c>
      <c r="E18" s="96">
        <f>E17/$E$6*100</f>
        <v>18.226663100902915</v>
      </c>
      <c r="F18" s="96">
        <f>F17/$F$6*100</f>
        <v>22.040394145205784</v>
      </c>
      <c r="G18" s="96">
        <f>G17/$G$6*100</f>
        <v>18.226663100902915</v>
      </c>
      <c r="H18" s="112">
        <f>H17/$H$6*100</f>
        <v>22.040394145205784</v>
      </c>
    </row>
    <row r="19" spans="2:8" s="23" customFormat="1" ht="14.4" thickBot="1" x14ac:dyDescent="0.3">
      <c r="B19" s="339" t="s">
        <v>147</v>
      </c>
      <c r="C19" s="313" t="s">
        <v>148</v>
      </c>
      <c r="D19" s="164" t="s">
        <v>133</v>
      </c>
      <c r="E19" s="100">
        <v>6152.5003999999999</v>
      </c>
      <c r="F19" s="100">
        <v>6932.8226999999997</v>
      </c>
      <c r="G19" s="96">
        <f>E19</f>
        <v>6152.5003999999999</v>
      </c>
      <c r="H19" s="112">
        <f>F19</f>
        <v>6932.8226999999997</v>
      </c>
    </row>
    <row r="20" spans="2:8" s="23" customFormat="1" ht="14.4" thickBot="1" x14ac:dyDescent="0.3">
      <c r="B20" s="341"/>
      <c r="C20" s="314"/>
      <c r="D20" s="164" t="s">
        <v>136</v>
      </c>
      <c r="E20" s="96">
        <f>E19/$E$6*100</f>
        <v>12.608254538151623</v>
      </c>
      <c r="F20" s="96">
        <f>F19/$F$6*100</f>
        <v>14.208292583954652</v>
      </c>
      <c r="G20" s="96">
        <f>G19/$G$6*100</f>
        <v>12.608254538151623</v>
      </c>
      <c r="H20" s="112">
        <f>H19/$H$6*100</f>
        <v>14.208292583954652</v>
      </c>
    </row>
    <row r="21" spans="2:8" s="23" customFormat="1" ht="14.4" thickBot="1" x14ac:dyDescent="0.3">
      <c r="B21" s="311" t="s">
        <v>149</v>
      </c>
      <c r="C21" s="334" t="s">
        <v>150</v>
      </c>
      <c r="D21" s="164" t="s">
        <v>133</v>
      </c>
      <c r="E21" s="96">
        <f>E19+E17</f>
        <v>15046.6381</v>
      </c>
      <c r="F21" s="96">
        <f>F17+F19</f>
        <v>17687.256699999998</v>
      </c>
      <c r="G21" s="96">
        <f>G19+G17</f>
        <v>15046.6381</v>
      </c>
      <c r="H21" s="112">
        <f>H17+H19</f>
        <v>17687.256699999998</v>
      </c>
    </row>
    <row r="22" spans="2:8" s="23" customFormat="1" ht="16.5" customHeight="1" thickBot="1" x14ac:dyDescent="0.3">
      <c r="B22" s="312"/>
      <c r="C22" s="335"/>
      <c r="D22" s="164" t="s">
        <v>136</v>
      </c>
      <c r="E22" s="96">
        <f>E21/$E$6*100</f>
        <v>30.834917639054538</v>
      </c>
      <c r="F22" s="96">
        <f>F21/$F$6*100</f>
        <v>36.248686729160426</v>
      </c>
      <c r="G22" s="96">
        <f>G21/$G$6*100</f>
        <v>30.834917639054538</v>
      </c>
      <c r="H22" s="112">
        <f>H21/$H$6*100</f>
        <v>36.248686729160426</v>
      </c>
    </row>
    <row r="23" spans="2:8" s="23" customFormat="1" ht="14.4" thickBot="1" x14ac:dyDescent="0.3">
      <c r="B23" s="311" t="s">
        <v>151</v>
      </c>
      <c r="C23" s="313" t="s">
        <v>152</v>
      </c>
      <c r="D23" s="164" t="s">
        <v>133</v>
      </c>
      <c r="E23" s="101">
        <v>37.299999999999997</v>
      </c>
      <c r="F23" s="101">
        <v>2.2999999999999998</v>
      </c>
      <c r="G23" s="101">
        <f>E23</f>
        <v>37.299999999999997</v>
      </c>
      <c r="H23" s="101">
        <v>2.2999999999999998</v>
      </c>
    </row>
    <row r="24" spans="2:8" ht="14.4" thickBot="1" x14ac:dyDescent="0.3">
      <c r="B24" s="326"/>
      <c r="C24" s="314"/>
      <c r="D24" s="164" t="s">
        <v>136</v>
      </c>
      <c r="E24" s="96">
        <f>E23/$E$6*100</f>
        <v>7.6438498772475577E-2</v>
      </c>
      <c r="F24" s="96">
        <f>F23/$F$6*100</f>
        <v>4.7136749859614463E-3</v>
      </c>
      <c r="G24" s="96">
        <f>G23/$G$6*100</f>
        <v>7.6438498772475577E-2</v>
      </c>
      <c r="H24" s="112">
        <f>H23/$H$6*100</f>
        <v>4.7136749859614463E-3</v>
      </c>
    </row>
    <row r="25" spans="2:8" ht="14.4" thickBot="1" x14ac:dyDescent="0.3">
      <c r="B25" s="311" t="s">
        <v>153</v>
      </c>
      <c r="C25" s="313" t="s">
        <v>154</v>
      </c>
      <c r="D25" s="164" t="s">
        <v>133</v>
      </c>
      <c r="E25" s="101">
        <v>0</v>
      </c>
      <c r="F25" s="101">
        <v>0</v>
      </c>
      <c r="G25" s="101">
        <v>0</v>
      </c>
      <c r="H25" s="101">
        <v>0</v>
      </c>
    </row>
    <row r="26" spans="2:8" ht="14.4" thickBot="1" x14ac:dyDescent="0.3">
      <c r="B26" s="326"/>
      <c r="C26" s="314"/>
      <c r="D26" s="164" t="s">
        <v>136</v>
      </c>
      <c r="E26" s="96">
        <f>E25/$E$6*100</f>
        <v>0</v>
      </c>
      <c r="F26" s="96">
        <f>F25/$F$6*100</f>
        <v>0</v>
      </c>
      <c r="G26" s="96">
        <f>G25/$G$6*100</f>
        <v>0</v>
      </c>
      <c r="H26" s="112">
        <f>H25/$H$6*100</f>
        <v>0</v>
      </c>
    </row>
    <row r="27" spans="2:8" ht="14.4" thickBot="1" x14ac:dyDescent="0.3">
      <c r="B27" s="311" t="s">
        <v>155</v>
      </c>
      <c r="C27" s="313" t="s">
        <v>156</v>
      </c>
      <c r="D27" s="164" t="s">
        <v>133</v>
      </c>
      <c r="E27" s="101">
        <v>0</v>
      </c>
      <c r="F27" s="101">
        <v>0</v>
      </c>
      <c r="G27" s="101">
        <v>0</v>
      </c>
      <c r="H27" s="101">
        <v>0</v>
      </c>
    </row>
    <row r="28" spans="2:8" ht="14.4" thickBot="1" x14ac:dyDescent="0.3">
      <c r="B28" s="326"/>
      <c r="C28" s="314"/>
      <c r="D28" s="164" t="s">
        <v>136</v>
      </c>
      <c r="E28" s="96">
        <f>E27/$E$6*100</f>
        <v>0</v>
      </c>
      <c r="F28" s="96">
        <f>F27/$F$6*100</f>
        <v>0</v>
      </c>
      <c r="G28" s="96">
        <f>G27/$G$6*100</f>
        <v>0</v>
      </c>
      <c r="H28" s="112">
        <f>H27/$H$6*100</f>
        <v>0</v>
      </c>
    </row>
    <row r="29" spans="2:8" ht="28.8" thickBot="1" x14ac:dyDescent="0.3">
      <c r="B29" s="216" t="s">
        <v>157</v>
      </c>
      <c r="C29" s="164" t="s">
        <v>158</v>
      </c>
      <c r="D29" s="164" t="s">
        <v>136</v>
      </c>
      <c r="E29" s="41">
        <v>0.5</v>
      </c>
      <c r="F29" s="39">
        <v>0</v>
      </c>
      <c r="G29" s="39">
        <f>E29</f>
        <v>0.5</v>
      </c>
      <c r="H29" s="39">
        <f>F29</f>
        <v>0</v>
      </c>
    </row>
    <row r="30" spans="2:8" ht="33" customHeight="1" thickBot="1" x14ac:dyDescent="0.3">
      <c r="B30" s="216" t="s">
        <v>159</v>
      </c>
      <c r="C30" s="164" t="s">
        <v>160</v>
      </c>
      <c r="D30" s="164" t="s">
        <v>136</v>
      </c>
      <c r="E30" s="101">
        <f>E8-'2. Macro'!L22-E24+E29</f>
        <v>-0.77491941417689869</v>
      </c>
      <c r="F30" s="101">
        <f>F8-'2. Macro'!M22-F24+F29</f>
        <v>-7.1534482944973945</v>
      </c>
      <c r="G30" s="101">
        <f>G8-'2. Macro'!L21-G24+G29</f>
        <v>-0.56785627742094724</v>
      </c>
      <c r="H30" s="101">
        <f>H8-'2. Macro'!M21-H24+H29</f>
        <v>-7.2399385318821921</v>
      </c>
    </row>
    <row r="31" spans="2:8" ht="28.8" thickBot="1" x14ac:dyDescent="0.3">
      <c r="B31" s="216" t="s">
        <v>161</v>
      </c>
      <c r="C31" s="164" t="s">
        <v>162</v>
      </c>
      <c r="D31" s="164" t="s">
        <v>136</v>
      </c>
      <c r="E31" s="19">
        <f>E10-'2. Macro'!L24-E26</f>
        <v>0.14882192022592805</v>
      </c>
      <c r="F31" s="19">
        <f>F10-'2. Macro'!M24-F26</f>
        <v>0.54646960503100983</v>
      </c>
      <c r="G31" s="19">
        <f>G10-'2. Macro'!L23-G26</f>
        <v>0.2012363984523719</v>
      </c>
      <c r="H31" s="19">
        <f>H10-'2. Macro'!M23-H26</f>
        <v>0.52739406395366106</v>
      </c>
    </row>
    <row r="32" spans="2:8" ht="28.8" thickBot="1" x14ac:dyDescent="0.3">
      <c r="B32" s="216" t="s">
        <v>163</v>
      </c>
      <c r="C32" s="164" t="s">
        <v>164</v>
      </c>
      <c r="D32" s="164" t="s">
        <v>136</v>
      </c>
      <c r="E32" s="19">
        <f>E12-'2. Macro'!L26-E28</f>
        <v>-0.1237686289542818</v>
      </c>
      <c r="F32" s="19">
        <f>F12-'2. Macro'!M26-F28</f>
        <v>9.3291593821089036E-2</v>
      </c>
      <c r="G32" s="39">
        <f>E12-'2. Macro'!L25-G28</f>
        <v>-0.10041564360586623</v>
      </c>
      <c r="H32" s="39">
        <f>F12-'2. Macro'!M25-H28</f>
        <v>8.4187358306899857E-2</v>
      </c>
    </row>
    <row r="33" spans="2:13" ht="28.8" thickBot="1" x14ac:dyDescent="0.3">
      <c r="B33" s="216" t="s">
        <v>165</v>
      </c>
      <c r="C33" s="217" t="s">
        <v>166</v>
      </c>
      <c r="D33" s="164" t="s">
        <v>136</v>
      </c>
      <c r="E33" s="113">
        <v>-1</v>
      </c>
      <c r="F33" s="113">
        <v>-1</v>
      </c>
      <c r="G33" s="113">
        <v>-1</v>
      </c>
      <c r="H33" s="217">
        <v>-1</v>
      </c>
    </row>
    <row r="34" spans="2:13" ht="28.8" thickBot="1" x14ac:dyDescent="0.3">
      <c r="B34" s="216" t="s">
        <v>167</v>
      </c>
      <c r="C34" s="217" t="s">
        <v>168</v>
      </c>
      <c r="D34" s="164" t="s">
        <v>136</v>
      </c>
      <c r="E34" s="113">
        <v>0</v>
      </c>
      <c r="F34" s="113">
        <v>0</v>
      </c>
      <c r="G34" s="113">
        <v>0</v>
      </c>
      <c r="H34" s="217">
        <v>0</v>
      </c>
    </row>
    <row r="35" spans="2:13" x14ac:dyDescent="0.25">
      <c r="C35" s="42"/>
      <c r="D35" s="42"/>
      <c r="E35" s="42"/>
      <c r="F35" s="42"/>
      <c r="G35" s="42"/>
      <c r="H35" s="42"/>
    </row>
    <row r="36" spans="2:13" ht="15" thickBot="1" x14ac:dyDescent="0.35">
      <c r="C36" s="10" t="s">
        <v>51</v>
      </c>
      <c r="D36" s="10"/>
      <c r="E36" s="200" t="s">
        <v>52</v>
      </c>
      <c r="F36" s="98"/>
      <c r="G36" s="98"/>
      <c r="H36" s="98"/>
    </row>
    <row r="37" spans="2:13" ht="15" thickBot="1" x14ac:dyDescent="0.35">
      <c r="B37" s="43"/>
      <c r="C37" s="44" t="s">
        <v>169</v>
      </c>
      <c r="D37" s="31"/>
      <c r="E37" s="201" t="s">
        <v>170</v>
      </c>
      <c r="F37" s="97"/>
      <c r="G37" s="97"/>
    </row>
    <row r="38" spans="2:13" ht="15" customHeight="1" thickBot="1" x14ac:dyDescent="0.35">
      <c r="B38" s="45"/>
      <c r="C38" s="10" t="s">
        <v>122</v>
      </c>
      <c r="D38" s="32"/>
      <c r="E38" s="323" t="s">
        <v>123</v>
      </c>
      <c r="F38" s="324"/>
      <c r="G38" s="324"/>
      <c r="H38" s="324"/>
      <c r="I38" s="324"/>
      <c r="J38" s="324"/>
      <c r="K38" s="324"/>
      <c r="L38" s="324"/>
      <c r="M38" s="324"/>
    </row>
    <row r="39" spans="2:13" ht="15" thickBot="1" x14ac:dyDescent="0.35">
      <c r="C39" s="10"/>
      <c r="E39" s="136"/>
    </row>
    <row r="40" spans="2:13" ht="14.4" thickBot="1" x14ac:dyDescent="0.3">
      <c r="C40" s="33" t="s">
        <v>126</v>
      </c>
      <c r="D40" s="34"/>
      <c r="E40" s="202" t="s">
        <v>127</v>
      </c>
      <c r="F40" s="99"/>
      <c r="G40" s="99"/>
    </row>
    <row r="41" spans="2:13" ht="14.4" customHeight="1" x14ac:dyDescent="0.25">
      <c r="C41" s="336"/>
      <c r="D41" s="336"/>
      <c r="E41" s="24"/>
      <c r="F41" s="24"/>
      <c r="G41" s="24"/>
      <c r="H41" s="24"/>
    </row>
    <row r="42" spans="2:13" x14ac:dyDescent="0.25">
      <c r="C42" s="336"/>
      <c r="D42" s="336"/>
      <c r="E42" s="24"/>
      <c r="F42" s="24"/>
      <c r="G42" s="24"/>
      <c r="H42" s="24"/>
    </row>
  </sheetData>
  <mergeCells count="31">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B3:C3"/>
    <mergeCell ref="B4:B5"/>
    <mergeCell ref="C4:C5"/>
    <mergeCell ref="D4:D5"/>
    <mergeCell ref="E38:M38"/>
    <mergeCell ref="E4:F4"/>
    <mergeCell ref="C27:C28"/>
    <mergeCell ref="B15:B16"/>
    <mergeCell ref="C15:C16"/>
    <mergeCell ref="B23:B24"/>
    <mergeCell ref="C23:C24"/>
    <mergeCell ref="B25:B26"/>
    <mergeCell ref="C25:C26"/>
    <mergeCell ref="B21:B22"/>
    <mergeCell ref="C21:C22"/>
    <mergeCell ref="B27:B28"/>
  </mergeCells>
  <hyperlinks>
    <hyperlink ref="B1" location="Content!A1" display="↖ atgal į turinį" xr:uid="{8D49A034-0168-4894-B604-40CFF3F7B0DE}"/>
  </hyperlinks>
  <pageMargins left="0.7" right="0.7" top="0.75" bottom="0.75" header="0.3" footer="0.3"/>
  <pageSetup orientation="portrait" r:id="rId1"/>
  <ignoredErrors>
    <ignoredError sqref="G23"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rgb="FF47ABD9"/>
  </sheetPr>
  <dimension ref="A1:L45"/>
  <sheetViews>
    <sheetView showGridLines="0" showRowColHeaders="0" zoomScaleNormal="100" workbookViewId="0"/>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
      <c r="B1" s="356" t="s">
        <v>19</v>
      </c>
      <c r="C1" s="356"/>
      <c r="D1" s="2"/>
    </row>
    <row r="2" spans="1:12" ht="14.4" thickBot="1" x14ac:dyDescent="0.3">
      <c r="A2" s="12" t="s">
        <v>20</v>
      </c>
    </row>
    <row r="3" spans="1:12" ht="34.5" customHeight="1" thickTop="1" thickBot="1" x14ac:dyDescent="0.3">
      <c r="A3" s="13"/>
      <c r="B3" s="293" t="s">
        <v>171</v>
      </c>
      <c r="C3" s="357"/>
      <c r="D3" s="357"/>
      <c r="E3" s="357"/>
      <c r="F3" s="358"/>
    </row>
    <row r="4" spans="1:12" ht="41.25" customHeight="1" thickBot="1" x14ac:dyDescent="0.3">
      <c r="B4" s="106" t="s">
        <v>172</v>
      </c>
      <c r="C4" s="135" t="s">
        <v>173</v>
      </c>
      <c r="D4" s="135" t="s">
        <v>174</v>
      </c>
      <c r="E4" s="359" t="s">
        <v>175</v>
      </c>
      <c r="F4" s="360"/>
      <c r="J4" s="148"/>
      <c r="K4" s="148"/>
      <c r="L4" s="148"/>
    </row>
    <row r="5" spans="1:12" ht="33" customHeight="1" thickBot="1" x14ac:dyDescent="0.3">
      <c r="B5" s="361" t="s">
        <v>176</v>
      </c>
      <c r="C5" s="362"/>
      <c r="D5" s="363"/>
      <c r="E5" s="130" t="s">
        <v>24</v>
      </c>
      <c r="F5" s="131" t="s">
        <v>25</v>
      </c>
      <c r="J5" s="148"/>
      <c r="K5" s="148"/>
      <c r="L5" s="148"/>
    </row>
    <row r="6" spans="1:12" ht="14.25" customHeight="1" x14ac:dyDescent="0.25">
      <c r="B6" s="364"/>
      <c r="C6" s="149" t="s">
        <v>177</v>
      </c>
      <c r="D6" s="377"/>
      <c r="E6" s="369" t="str">
        <f>"Taip"</f>
        <v>Taip</v>
      </c>
      <c r="F6" s="370"/>
    </row>
    <row r="7" spans="1:12" ht="14.25" customHeight="1" thickBot="1" x14ac:dyDescent="0.35">
      <c r="B7" s="365"/>
      <c r="C7" s="150" t="s">
        <v>30</v>
      </c>
      <c r="D7" s="378"/>
      <c r="E7" s="375" t="str">
        <f>"Yes"</f>
        <v>Yes</v>
      </c>
      <c r="F7" s="376"/>
    </row>
    <row r="8" spans="1:12" ht="18" customHeight="1" x14ac:dyDescent="0.25">
      <c r="B8" s="342" t="s">
        <v>178</v>
      </c>
      <c r="C8" s="351" t="s">
        <v>179</v>
      </c>
      <c r="D8" s="329" t="s">
        <v>180</v>
      </c>
      <c r="E8" s="156" t="str">
        <f>IF(E28&gt;eps,"Tiesa","Netiesa")</f>
        <v>Netiesa</v>
      </c>
      <c r="F8" s="47" t="str">
        <f>IF(F28&gt;eps,"Tiesa","Netiesa")</f>
        <v>Netiesa</v>
      </c>
    </row>
    <row r="9" spans="1:12" ht="15.75" customHeight="1" x14ac:dyDescent="0.25">
      <c r="B9" s="343"/>
      <c r="C9" s="352"/>
      <c r="D9" s="353"/>
      <c r="E9" s="146" t="str">
        <f>CONCATENATE(FIXED(E28,1),IF(E28="Tiesa"," ≥ "," &lt; "),FIXED(0,1))</f>
        <v>-7,2 &lt; 0,0</v>
      </c>
      <c r="F9" s="147" t="str">
        <f>CONCATENATE(FIXED(F28,1),IF(F28="Tiesa"," ≥ "," &lt; "),FIXED(0,1))</f>
        <v>-7,2 &lt; 0,0</v>
      </c>
      <c r="H9" s="48"/>
    </row>
    <row r="10" spans="1:12" ht="15" thickBot="1" x14ac:dyDescent="0.3">
      <c r="B10" s="350"/>
      <c r="C10" s="151" t="s">
        <v>181</v>
      </c>
      <c r="D10" s="331"/>
      <c r="E10" s="137" t="str">
        <f>IF(E8="Tiesa","True","False")</f>
        <v>False</v>
      </c>
      <c r="F10" s="128" t="str">
        <f>IF(F8="Tiesa","True","False")</f>
        <v>False</v>
      </c>
      <c r="H10" s="48"/>
    </row>
    <row r="11" spans="1:12" ht="30" customHeight="1" x14ac:dyDescent="0.25">
      <c r="B11" s="342" t="s">
        <v>182</v>
      </c>
      <c r="C11" s="351" t="s">
        <v>183</v>
      </c>
      <c r="D11" s="329" t="s">
        <v>184</v>
      </c>
      <c r="E11" s="156" t="str">
        <f>IF((ABS(E28)+eps&lt;ABS($E$30))*(ABS(E28)&lt;ABS(E29))*(E31&gt;=-eps),"Tiesa","Netiesa")</f>
        <v>Netiesa</v>
      </c>
      <c r="F11" s="47" t="str">
        <f>IF((ABS(F28)+eps&lt;ABS($E$30))*(ABS(F28)&lt;ABS(F29))*(F31&gt;=-eps),"Tiesa","Netiesa")</f>
        <v>Netiesa</v>
      </c>
      <c r="I11" s="25"/>
    </row>
    <row r="12" spans="1:12" ht="43.5" customHeight="1" x14ac:dyDescent="0.25">
      <c r="B12" s="343"/>
      <c r="C12" s="352"/>
      <c r="D12" s="353"/>
      <c r="E12" s="90" t="str">
        <f>CONCATENATE(FIXED(ABS(E28),1),IF(ABS(E28)+eps&lt;ABS($E$30)," &lt; "," ≥ "),FIXED(ABS($E$30),1)," &amp;
",FIXED(ABS(E28),1),IF(ABS(E28)&lt;ABS(E29)," &lt; "," ≥ "),FIXED(ABS(E29),1)," &amp;
",FIXED(E31,1),IF(E31&lt;-eps," &lt; "," ≥ "),FIXED(0,1))</f>
        <v>7,2 ≥ 1,0 &amp;
7,2 ≥ 0,8 &amp;
-0,6 &lt; 0,0</v>
      </c>
      <c r="F12" s="145" t="str">
        <f>CONCATENATE(FIXED(ABS(F28),1),IF(ABS(F28)+eps&lt;ABS($E$30)," &lt; "," ≥ "),FIXED(ABS($E$30),1)," &amp;
",FIXED(ABS(F28),1),IF(ABS(F28)&lt;ABS(F29)," &lt; "," ≥ "),FIXED(ABS(F29),1)," &amp;
",FIXED(F31,1),IF(F31&lt;-eps," &lt; "," ≥ "),FIXED(0,1))</f>
        <v>7,2 ≥ 1,0 &amp;
7,2 ≥ 0,6 &amp;
-0,3 &lt; 0,0</v>
      </c>
      <c r="G12" s="49"/>
      <c r="H12" s="50"/>
      <c r="I12" s="25"/>
      <c r="J12" s="25"/>
    </row>
    <row r="13" spans="1:12" ht="64.5" customHeight="1" thickBot="1" x14ac:dyDescent="0.3">
      <c r="B13" s="350"/>
      <c r="C13" s="151" t="s">
        <v>185</v>
      </c>
      <c r="D13" s="331"/>
      <c r="E13" s="92" t="str">
        <f>IF(E11="Tiesa","True","False")</f>
        <v>False</v>
      </c>
      <c r="F13" s="138" t="str">
        <f>IF(F11="Tiesa","True","False")</f>
        <v>False</v>
      </c>
      <c r="G13" s="49"/>
      <c r="H13" s="50"/>
      <c r="I13" s="25"/>
      <c r="J13" s="25"/>
    </row>
    <row r="14" spans="1:12" ht="30" customHeight="1" x14ac:dyDescent="0.25">
      <c r="B14" s="342" t="s">
        <v>186</v>
      </c>
      <c r="C14" s="351" t="s">
        <v>187</v>
      </c>
      <c r="D14" s="329" t="s">
        <v>188</v>
      </c>
      <c r="E14" s="156" t="str">
        <f>IF((ABS(E28)+eps&lt;ABS($E$30))*(E31&lt;-eps),"Tiesa","Netiesa")</f>
        <v>Netiesa</v>
      </c>
      <c r="F14" s="47" t="str">
        <f>IF((ABS(F28)+eps&lt;ABS($E$30))*(F31&lt;-eps),"Tiesa","Netiesa")</f>
        <v>Netiesa</v>
      </c>
      <c r="I14" s="25"/>
      <c r="J14" s="25"/>
    </row>
    <row r="15" spans="1:12" ht="33" customHeight="1" x14ac:dyDescent="0.25">
      <c r="B15" s="343"/>
      <c r="C15" s="352"/>
      <c r="D15" s="353"/>
      <c r="E15" s="90" t="str">
        <f>CONCATENATE(FIXED(ABS(E28),1),IF(ABS(E28)+eps&lt;ABS($E$30)," &lt; "," ≥ "),FIXED(ABS($E$30),1)," &amp;
",FIXED(E31,1),IF(E31&lt;-eps," &lt; "," ≥ "),FIXED(0,1))</f>
        <v>7,2 ≥ 1,0 &amp;
-0,6 &lt; 0,0</v>
      </c>
      <c r="F15" s="145" t="str">
        <f>CONCATENATE(FIXED(ABS(F28),1),IF(ABS(F28)+eps&lt;ABS($E$30)," &lt; "," ≥ "),FIXED(ABS($E$30),1)," &amp;
",FIXED(F31,1),IF(F31&lt;-eps," &lt; "," ≥ "),FIXED(0,1))</f>
        <v>7,2 ≥ 1,0 &amp;
-0,3 &lt; 0,0</v>
      </c>
    </row>
    <row r="16" spans="1:12" ht="51.6" customHeight="1" thickBot="1" x14ac:dyDescent="0.3">
      <c r="B16" s="350"/>
      <c r="C16" s="151" t="s">
        <v>189</v>
      </c>
      <c r="D16" s="331"/>
      <c r="E16" s="92" t="str">
        <f>IF(E14="Tiesa","True","False")</f>
        <v>False</v>
      </c>
      <c r="F16" s="127" t="str">
        <f>IF(F14="Tiesa","True","False")</f>
        <v>False</v>
      </c>
    </row>
    <row r="17" spans="2:6" ht="34.5" customHeight="1" x14ac:dyDescent="0.25">
      <c r="B17" s="342" t="s">
        <v>190</v>
      </c>
      <c r="C17" s="345" t="s">
        <v>191</v>
      </c>
      <c r="D17" s="347" t="s">
        <v>192</v>
      </c>
      <c r="E17" s="156" t="str">
        <f>IF(($E$32&gt;0),IF((E28&gt;=E29+$E$32),"Tiesa","Netiesa"),"Netaikoma")</f>
        <v>Netaikoma</v>
      </c>
      <c r="F17" s="158" t="str">
        <f>IF(($E$32&gt;0),IF((E28&gt;=E29+$E$32),"Tiesa","Netiesa"),"Netaikoma")</f>
        <v>Netaikoma</v>
      </c>
    </row>
    <row r="18" spans="2:6" ht="15.75" customHeight="1" x14ac:dyDescent="0.25">
      <c r="B18" s="343"/>
      <c r="C18" s="346"/>
      <c r="D18" s="348"/>
      <c r="E18" s="157" t="str">
        <f>IF($E$32=0,"",CONCATENATE(FIXED(E28,1),IF(E28&gt;=E29+$E$32," ≥ "," &lt; "),FIXED(E29,1)," + ",FIXED($E$32,1)," = ",FIXED(E29+$E$32,1)))</f>
        <v/>
      </c>
      <c r="F18" s="145" t="str">
        <f>IF($E$32=0,"",CONCATENATE(FIXED(F28,1),IF(F28&gt;=F29+$E$32," ≥ "," &lt; "),FIXED(F29,1)," + ",FIXED($E$32,1)," = ",FIXED(F29+$E$32,1)))</f>
        <v/>
      </c>
    </row>
    <row r="19" spans="2:6" ht="47.25" customHeight="1" thickBot="1" x14ac:dyDescent="0.3">
      <c r="B19" s="350"/>
      <c r="C19" s="152" t="s">
        <v>193</v>
      </c>
      <c r="D19" s="349"/>
      <c r="E19" s="92" t="str">
        <f>IF(E17="Tiesa","True",IF(E17="Netaikoma","Not applicable","False"))</f>
        <v>Not applicable</v>
      </c>
      <c r="F19" s="127" t="str">
        <f>IF(F17="Tiesa","True",IF(F17="Netaikoma","Not applicable","False"))</f>
        <v>Not applicable</v>
      </c>
    </row>
    <row r="20" spans="2:6" x14ac:dyDescent="0.25">
      <c r="B20" s="342" t="s">
        <v>194</v>
      </c>
      <c r="C20" s="372" t="s">
        <v>195</v>
      </c>
      <c r="D20" s="347"/>
      <c r="E20" s="51" t="str">
        <f>IF(E6="Taip","Netaikoma", IF(OR(E8="Tiesa",E11="Tiesa",E14="Tiesa",E17="Tiesa"),"Taip","Ne"))</f>
        <v>Netaikoma</v>
      </c>
      <c r="F20" s="52" t="str">
        <f>IF(E6="Taip","Netaikoma", IF(OR(F8="Tiesa",F11="Tiesa",F14="Tiesa",F17="Tiesa"),"Taip","Ne"))</f>
        <v>Netaikoma</v>
      </c>
    </row>
    <row r="21" spans="2:6" ht="43.95" customHeight="1" x14ac:dyDescent="0.25">
      <c r="B21" s="343"/>
      <c r="C21" s="373"/>
      <c r="D21" s="348"/>
      <c r="E21" s="141"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03"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2:6" ht="21" customHeight="1" x14ac:dyDescent="0.25">
      <c r="B22" s="343"/>
      <c r="C22" s="354" t="s">
        <v>196</v>
      </c>
      <c r="D22" s="348"/>
      <c r="E22" s="142" t="str">
        <f>IF(E20="Taip","Yes",IF(E20="Netaikoma","Not applicable","False"))</f>
        <v>Not applicable</v>
      </c>
      <c r="F22" s="104" t="str">
        <f>IF(F20="Taip","Yes",IF(F20="Netaikoma","Not applicable","False"))</f>
        <v>Not applicable</v>
      </c>
    </row>
    <row r="23" spans="2:6" ht="28.5" customHeight="1" thickBot="1" x14ac:dyDescent="0.3">
      <c r="B23" s="344"/>
      <c r="C23" s="355"/>
      <c r="D23" s="374"/>
      <c r="E23" s="143"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44"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2:6" ht="15.75" customHeight="1" thickTop="1" x14ac:dyDescent="0.25">
      <c r="C24" s="366" t="s">
        <v>197</v>
      </c>
      <c r="D24" s="366"/>
      <c r="E24" s="366"/>
      <c r="F24" s="366"/>
    </row>
    <row r="25" spans="2:6" ht="15.75" customHeight="1" x14ac:dyDescent="0.25">
      <c r="C25" s="379" t="s">
        <v>198</v>
      </c>
      <c r="D25" s="379"/>
      <c r="E25" s="379"/>
      <c r="F25" s="379"/>
    </row>
    <row r="26" spans="2:6" ht="14.4" thickBot="1" x14ac:dyDescent="0.3">
      <c r="C26" s="54" t="s">
        <v>199</v>
      </c>
      <c r="D26" s="54"/>
      <c r="E26" s="13"/>
      <c r="F26" s="13"/>
    </row>
    <row r="27" spans="2:6" ht="14.4" thickBot="1" x14ac:dyDescent="0.3">
      <c r="C27" s="108" t="s">
        <v>200</v>
      </c>
      <c r="D27" s="55" t="s">
        <v>201</v>
      </c>
      <c r="E27" s="367">
        <v>2020</v>
      </c>
      <c r="F27" s="367"/>
    </row>
    <row r="28" spans="2:6" ht="14.4" thickBot="1" x14ac:dyDescent="0.3">
      <c r="D28" s="55" t="s">
        <v>202</v>
      </c>
      <c r="E28" s="57">
        <f>'3. GGbudget'!F30</f>
        <v>-7.1534482944973945</v>
      </c>
      <c r="F28" s="58">
        <f>'3. GGbudget'!H30</f>
        <v>-7.2399385318821921</v>
      </c>
    </row>
    <row r="29" spans="2:6" ht="14.4" thickBot="1" x14ac:dyDescent="0.3">
      <c r="D29" s="55" t="s">
        <v>203</v>
      </c>
      <c r="E29" s="57">
        <f>'3. GGbudget'!E30</f>
        <v>-0.77491941417689869</v>
      </c>
      <c r="F29" s="58">
        <f>'3. GGbudget'!G30</f>
        <v>-0.56785627742094724</v>
      </c>
    </row>
    <row r="30" spans="2:6" ht="14.4" thickBot="1" x14ac:dyDescent="0.3">
      <c r="D30" s="55" t="s">
        <v>204</v>
      </c>
      <c r="E30" s="368">
        <f>'3. GGbudget'!F33</f>
        <v>-1</v>
      </c>
      <c r="F30" s="368"/>
    </row>
    <row r="31" spans="2:6" ht="14.4" thickBot="1" x14ac:dyDescent="0.3">
      <c r="D31" s="55" t="s">
        <v>205</v>
      </c>
      <c r="E31" s="57">
        <f>'2. Macro'!M20</f>
        <v>-0.56542594895878651</v>
      </c>
      <c r="F31" s="57">
        <f>'2. Macro'!M19</f>
        <v>-0.34865843671618713</v>
      </c>
    </row>
    <row r="32" spans="2:6" ht="14.4" thickBot="1" x14ac:dyDescent="0.3">
      <c r="D32" s="55" t="s">
        <v>206</v>
      </c>
      <c r="E32" s="371">
        <f>'3. GGbudget'!F34</f>
        <v>0</v>
      </c>
      <c r="F32" s="371"/>
    </row>
    <row r="33" spans="3:9" ht="15" thickBot="1" x14ac:dyDescent="0.35">
      <c r="D33" s="10" t="s">
        <v>51</v>
      </c>
      <c r="G33" s="213" t="s">
        <v>52</v>
      </c>
    </row>
    <row r="34" spans="3:9" ht="15" thickBot="1" x14ac:dyDescent="0.35">
      <c r="C34" s="10"/>
      <c r="D34" s="10" t="s">
        <v>53</v>
      </c>
      <c r="E34" s="281" t="s">
        <v>24</v>
      </c>
      <c r="F34" s="282"/>
      <c r="G34" s="213" t="s">
        <v>54</v>
      </c>
    </row>
    <row r="35" spans="3:9" ht="15" thickBot="1" x14ac:dyDescent="0.35">
      <c r="C35" s="10"/>
      <c r="D35" s="10" t="s">
        <v>55</v>
      </c>
      <c r="E35" s="283" t="s">
        <v>25</v>
      </c>
      <c r="F35" s="284"/>
      <c r="G35" s="241" t="s">
        <v>56</v>
      </c>
    </row>
    <row r="36" spans="3:9" s="12" customFormat="1" ht="14.4" x14ac:dyDescent="0.3">
      <c r="C36" s="59" t="s">
        <v>207</v>
      </c>
      <c r="D36" s="60" t="s">
        <v>208</v>
      </c>
      <c r="E36" s="139">
        <f>J13*1</f>
        <v>0</v>
      </c>
      <c r="F36" s="61"/>
    </row>
    <row r="37" spans="3:9" s="12" customFormat="1" ht="14.4" x14ac:dyDescent="0.3">
      <c r="C37" s="59" t="s">
        <v>209</v>
      </c>
      <c r="D37" s="60" t="s">
        <v>210</v>
      </c>
      <c r="E37" s="139">
        <f>J15*1</f>
        <v>0</v>
      </c>
      <c r="F37" s="61"/>
    </row>
    <row r="38" spans="3:9" s="12" customFormat="1" ht="14.4" x14ac:dyDescent="0.3">
      <c r="C38" s="59" t="s">
        <v>211</v>
      </c>
      <c r="D38" s="60" t="s">
        <v>212</v>
      </c>
      <c r="E38" s="139">
        <f>J17*1</f>
        <v>0</v>
      </c>
      <c r="F38" s="61"/>
      <c r="G38" s="62"/>
    </row>
    <row r="39" spans="3:9" s="12" customFormat="1" ht="14.4" x14ac:dyDescent="0.3">
      <c r="C39" s="59" t="s">
        <v>213</v>
      </c>
      <c r="D39" s="60" t="s">
        <v>214</v>
      </c>
      <c r="E39" s="139">
        <f>J19*1</f>
        <v>0</v>
      </c>
      <c r="F39" s="61"/>
      <c r="G39" s="62"/>
    </row>
    <row r="40" spans="3:9" s="12" customFormat="1" ht="14.4" x14ac:dyDescent="0.3">
      <c r="E40" s="139">
        <f>SUM(E36:E39)</f>
        <v>0</v>
      </c>
      <c r="F40" s="61"/>
    </row>
    <row r="41" spans="3:9" ht="14.4" x14ac:dyDescent="0.3">
      <c r="C41" s="23"/>
      <c r="D41" s="23"/>
      <c r="E41" s="140"/>
      <c r="F41" s="23"/>
      <c r="G41" s="12"/>
      <c r="H41" s="12"/>
      <c r="I41" s="12"/>
    </row>
    <row r="42" spans="3:9" x14ac:dyDescent="0.25">
      <c r="C42" s="23"/>
      <c r="D42" s="23"/>
      <c r="E42" s="23"/>
      <c r="F42" s="23"/>
      <c r="G42" s="12"/>
      <c r="H42" s="12"/>
      <c r="I42" s="12"/>
    </row>
    <row r="43" spans="3:9" x14ac:dyDescent="0.25">
      <c r="C43" s="25"/>
      <c r="D43" s="23"/>
      <c r="E43" s="23"/>
      <c r="F43" s="23"/>
    </row>
    <row r="44" spans="3:9" x14ac:dyDescent="0.25">
      <c r="C44" s="25"/>
      <c r="D44" s="23"/>
      <c r="E44" s="23"/>
      <c r="F44" s="23"/>
    </row>
    <row r="45" spans="3:9" x14ac:dyDescent="0.25">
      <c r="C45" s="25"/>
      <c r="D45" s="25"/>
      <c r="E45" s="25"/>
      <c r="F45" s="25"/>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rgb="FF47ABD9"/>
  </sheetPr>
  <dimension ref="A1:J66"/>
  <sheetViews>
    <sheetView showGridLines="0" showRowColHeaders="0" zoomScaleNormal="100" workbookViewId="0"/>
  </sheetViews>
  <sheetFormatPr defaultColWidth="10" defaultRowHeight="13.8" x14ac:dyDescent="0.25"/>
  <cols>
    <col min="1" max="1" width="3.6640625" style="1" customWidth="1"/>
    <col min="2" max="2" width="5.5546875" style="110" customWidth="1"/>
    <col min="3" max="3" width="100.6640625" style="1" customWidth="1"/>
    <col min="4" max="4" width="14.5546875" style="1" customWidth="1"/>
    <col min="5" max="5" width="21.44140625" style="1" customWidth="1"/>
    <col min="6" max="7" width="17" style="1" customWidth="1"/>
    <col min="8" max="8" width="8.5546875" style="1" customWidth="1"/>
    <col min="9" max="16384" width="10" style="1"/>
  </cols>
  <sheetData>
    <row r="1" spans="1:10" x14ac:dyDescent="0.25">
      <c r="A1" s="2"/>
      <c r="B1" s="356" t="s">
        <v>19</v>
      </c>
      <c r="C1" s="356"/>
    </row>
    <row r="2" spans="1:10" ht="14.4" thickBot="1" x14ac:dyDescent="0.3">
      <c r="A2" s="12" t="s">
        <v>20</v>
      </c>
    </row>
    <row r="3" spans="1:10" ht="39.75" customHeight="1" thickTop="1" thickBot="1" x14ac:dyDescent="0.3">
      <c r="B3" s="293" t="s">
        <v>215</v>
      </c>
      <c r="C3" s="357"/>
      <c r="D3" s="357"/>
      <c r="E3" s="357"/>
      <c r="F3" s="357"/>
      <c r="G3" s="358"/>
    </row>
    <row r="4" spans="1:10" ht="30" customHeight="1" thickBot="1" x14ac:dyDescent="0.3">
      <c r="B4" s="106" t="s">
        <v>216</v>
      </c>
      <c r="C4" s="107" t="s">
        <v>217</v>
      </c>
      <c r="D4" s="393" t="s">
        <v>174</v>
      </c>
      <c r="E4" s="394"/>
      <c r="F4" s="395" t="s">
        <v>175</v>
      </c>
      <c r="G4" s="396"/>
      <c r="H4" s="231"/>
    </row>
    <row r="5" spans="1:10" ht="33.75" customHeight="1" thickBot="1" x14ac:dyDescent="0.3">
      <c r="B5" s="361" t="s">
        <v>176</v>
      </c>
      <c r="C5" s="362"/>
      <c r="D5" s="362"/>
      <c r="E5" s="363"/>
      <c r="F5" s="130" t="s">
        <v>24</v>
      </c>
      <c r="G5" s="131" t="s">
        <v>25</v>
      </c>
      <c r="H5" s="5"/>
      <c r="I5" s="5"/>
      <c r="J5" s="5"/>
    </row>
    <row r="6" spans="1:10" ht="30" customHeight="1" x14ac:dyDescent="0.25">
      <c r="B6" s="403" t="s">
        <v>218</v>
      </c>
      <c r="C6" s="351" t="s">
        <v>219</v>
      </c>
      <c r="D6" s="397"/>
      <c r="E6" s="398"/>
      <c r="F6" s="102" t="str">
        <f>IF(F48+eps&lt;AVERAGE('2. Macro'!H33:L33)+2,"Tiesa","Netiesa")</f>
        <v>Netiesa</v>
      </c>
      <c r="G6" s="64" t="str">
        <f>IF(F48+eps&lt;AVERAGE('2. Macro'!H33:L33)+2,"Tiesa","Netiesa")</f>
        <v>Netiesa</v>
      </c>
      <c r="H6" s="5"/>
      <c r="I6" s="5"/>
      <c r="J6" s="5"/>
    </row>
    <row r="7" spans="1:10" ht="19.5" customHeight="1" x14ac:dyDescent="0.25">
      <c r="B7" s="404"/>
      <c r="C7" s="352"/>
      <c r="D7" s="399"/>
      <c r="E7" s="400"/>
      <c r="F7" s="102" t="str">
        <f>CONCATENATE(FIXED(F48,1),IF(F6="Tiesa"," &lt; "," ≥ "),FIXED(AVERAGE('2. Macro'!G33:K33)+2,1))</f>
        <v>7,3 ≥ 5,3</v>
      </c>
      <c r="G7" s="124" t="str">
        <f>CONCATENATE(FIXED(G48,1),IF(G6="Tiesa"," &lt; "," ≥ "),FIXED(AVERAGE('2. Macro'!G33:K33)+2,1))</f>
        <v>7,3 ≥ 5,3</v>
      </c>
      <c r="H7" s="5"/>
      <c r="I7" s="5"/>
      <c r="J7" s="5"/>
    </row>
    <row r="8" spans="1:10" ht="34.5" customHeight="1" thickBot="1" x14ac:dyDescent="0.3">
      <c r="B8" s="405"/>
      <c r="C8" s="151" t="s">
        <v>220</v>
      </c>
      <c r="D8" s="401"/>
      <c r="E8" s="402"/>
      <c r="F8" s="153" t="str">
        <f>IF(F6="Tiesa","True","False")</f>
        <v>False</v>
      </c>
      <c r="G8" s="117" t="str">
        <f>IF(G6="Tiesa","True","False")</f>
        <v>False</v>
      </c>
      <c r="H8" s="5"/>
      <c r="I8" s="5"/>
      <c r="J8" s="5"/>
    </row>
    <row r="9" spans="1:10" ht="30" customHeight="1" thickBot="1" x14ac:dyDescent="0.3">
      <c r="B9" s="406" t="s">
        <v>221</v>
      </c>
      <c r="C9" s="408" t="s">
        <v>222</v>
      </c>
      <c r="D9" s="318" t="s">
        <v>223</v>
      </c>
      <c r="E9" s="318"/>
      <c r="F9" s="63" t="str">
        <f>IF('3. GGbudget'!F8&gt;='3. GGbudget'!E8+1,"Tiesa","Netiesa")</f>
        <v>Netiesa</v>
      </c>
      <c r="G9" s="64" t="str">
        <f>IF('3. GGbudget'!H8&gt;='3. GGbudget'!G8+1,"Tiesa","Netiesa")</f>
        <v>Netiesa</v>
      </c>
    </row>
    <row r="10" spans="1:10" ht="15" customHeight="1" thickBot="1" x14ac:dyDescent="0.3">
      <c r="B10" s="406"/>
      <c r="C10" s="409"/>
      <c r="D10" s="318"/>
      <c r="E10" s="318"/>
      <c r="F10" s="102" t="str">
        <f>CONCATENATE(FIXED('3. GGbudget'!F8-'3. GGbudget'!E8,1),IF(F9="Tiesa"," ≥ "," &lt; "),FIXED(1,1))</f>
        <v>-7,8 &lt; 1,0</v>
      </c>
      <c r="G10" s="124" t="str">
        <f>CONCATENATE(FIXED('3. GGbudget'!H8-'3. GGbudget'!G8,1),IF(G9="Tiesa"," ≥ "," &lt; "),FIXED(1,1))</f>
        <v>-7,8 &lt; 1,0</v>
      </c>
    </row>
    <row r="11" spans="1:10" ht="30" customHeight="1" thickBot="1" x14ac:dyDescent="0.3">
      <c r="B11" s="406"/>
      <c r="C11" s="193" t="s">
        <v>224</v>
      </c>
      <c r="D11" s="318"/>
      <c r="E11" s="318"/>
      <c r="F11" s="137" t="str">
        <f>IF(F9="Tiesa","True","False")</f>
        <v>False</v>
      </c>
      <c r="G11" s="117" t="str">
        <f>IF(G9="Tiesa","True","False")</f>
        <v>False</v>
      </c>
    </row>
    <row r="12" spans="1:10" ht="27.75" customHeight="1" thickBot="1" x14ac:dyDescent="0.3">
      <c r="B12" s="406" t="s">
        <v>225</v>
      </c>
      <c r="C12" s="408" t="s">
        <v>226</v>
      </c>
      <c r="D12" s="407"/>
      <c r="E12" s="407"/>
      <c r="F12" s="65" t="str">
        <f>IF(ROUND(AVERAGE('2. Macro'!H37:L37),1)&gt;=0.1,"Tiesa","Netiesa")</f>
        <v>Tiesa</v>
      </c>
      <c r="G12" s="66" t="str">
        <f>IF(ROUND(AVERAGE('2. Macro'!H36:L36),1)&gt;=0.1,"Tiesa","Netiesa")</f>
        <v>Tiesa</v>
      </c>
    </row>
    <row r="13" spans="1:10" ht="11.25" customHeight="1" thickBot="1" x14ac:dyDescent="0.3">
      <c r="B13" s="406"/>
      <c r="C13" s="409"/>
      <c r="D13" s="407"/>
      <c r="E13" s="407"/>
      <c r="F13" s="133" t="str">
        <f>CONCATENATE(FIXED(AVERAGE('2. Macro'!H37:L37),1),IF(F12="Tiesa"," ≥ "," &lt; "),FIXED(0.1,1))</f>
        <v>0,3 ≥ 0,1</v>
      </c>
      <c r="G13" s="134" t="str">
        <f>CONCATENATE(FIXED(AVERAGE('2. Macro'!H36:L36),1),IF(G12="Tiesa"," ≥ "," &lt; "),FIXED(0.1,1))</f>
        <v>0,3 ≥ 0,1</v>
      </c>
    </row>
    <row r="14" spans="1:10" ht="29.4" thickBot="1" x14ac:dyDescent="0.3">
      <c r="B14" s="406"/>
      <c r="C14" s="193" t="s">
        <v>227</v>
      </c>
      <c r="D14" s="407"/>
      <c r="E14" s="407"/>
      <c r="F14" s="154" t="str">
        <f>IF(F12="Tiesa","True","False")</f>
        <v>True</v>
      </c>
      <c r="G14" s="155" t="str">
        <f>IF(G12="Tiesa","True","False")</f>
        <v>True</v>
      </c>
    </row>
    <row r="15" spans="1:10" ht="51.75" customHeight="1" x14ac:dyDescent="0.25">
      <c r="B15" s="403" t="s">
        <v>228</v>
      </c>
      <c r="C15" s="221" t="s">
        <v>229</v>
      </c>
      <c r="D15" s="397" t="s">
        <v>230</v>
      </c>
      <c r="E15" s="398"/>
      <c r="F15" s="156" t="s">
        <v>231</v>
      </c>
      <c r="G15" s="158" t="str">
        <f>F15</f>
        <v>Netaikoma</v>
      </c>
    </row>
    <row r="16" spans="1:10" ht="51.75" customHeight="1" thickBot="1" x14ac:dyDescent="0.3">
      <c r="B16" s="405"/>
      <c r="C16" s="151" t="s">
        <v>232</v>
      </c>
      <c r="D16" s="401"/>
      <c r="E16" s="402"/>
      <c r="F16" s="92" t="s">
        <v>233</v>
      </c>
      <c r="G16" s="127" t="str">
        <f>F16</f>
        <v>Not applied</v>
      </c>
    </row>
    <row r="17" spans="2:8" ht="44.25" customHeight="1" x14ac:dyDescent="0.25">
      <c r="B17" s="403" t="s">
        <v>234</v>
      </c>
      <c r="C17" s="408" t="s">
        <v>235</v>
      </c>
      <c r="D17" s="397" t="s">
        <v>236</v>
      </c>
      <c r="E17" s="398"/>
      <c r="F17" s="63" t="str">
        <f>IF(F49+eps&lt;0,"Tiesa","Netiesa")</f>
        <v>Tiesa</v>
      </c>
      <c r="G17" s="64" t="str">
        <f>IF(G49+eps&lt;0,"Tiesa","Netiesa")</f>
        <v>Tiesa</v>
      </c>
    </row>
    <row r="18" spans="2:8" ht="20.25" customHeight="1" x14ac:dyDescent="0.25">
      <c r="B18" s="404"/>
      <c r="C18" s="409"/>
      <c r="D18" s="399"/>
      <c r="E18" s="400"/>
      <c r="F18" s="133" t="str">
        <f>CONCATENATE(FIXED(F49,1),IF(F17="Tiesa"," &lt; "," ≥ "),FIXED(0,1))</f>
        <v>-0,6 &lt; 0,0</v>
      </c>
      <c r="G18" s="124" t="str">
        <f>CONCATENATE(FIXED(G49,1),IF(G17="Tiesa"," &lt; "," ≥ "),FIXED(0,1))</f>
        <v>-0,3 &lt; 0,0</v>
      </c>
    </row>
    <row r="19" spans="2:8" ht="48" customHeight="1" thickBot="1" x14ac:dyDescent="0.3">
      <c r="B19" s="405"/>
      <c r="C19" s="151" t="s">
        <v>237</v>
      </c>
      <c r="D19" s="401"/>
      <c r="E19" s="402"/>
      <c r="F19" s="137" t="str">
        <f>IF(F17="Tiesa","True","False")</f>
        <v>True</v>
      </c>
      <c r="G19" s="117" t="str">
        <f>IF(G17="Tiesa","True","False")</f>
        <v>True</v>
      </c>
    </row>
    <row r="20" spans="2:8" ht="21.75" customHeight="1" x14ac:dyDescent="0.25">
      <c r="B20" s="342" t="s">
        <v>238</v>
      </c>
      <c r="C20" s="372" t="s">
        <v>239</v>
      </c>
      <c r="D20" s="414"/>
      <c r="E20" s="415"/>
      <c r="F20" s="51" t="str">
        <f>+IF((OR(F6="Tiesa",F9="Tiesa",F12="Tiesa",F17="Tiesa")),"Taip","Ne")</f>
        <v>Taip</v>
      </c>
      <c r="G20" s="52" t="str">
        <f>+IF((OR(G6="Tiesa",G9="Tiesa",G12="Tiesa",G17="Tiesa")),"Taip","Ne")</f>
        <v>Taip</v>
      </c>
      <c r="H20" s="67"/>
    </row>
    <row r="21" spans="2:8" ht="39" customHeight="1" x14ac:dyDescent="0.25">
      <c r="B21" s="343"/>
      <c r="C21" s="373"/>
      <c r="D21" s="416"/>
      <c r="E21" s="417"/>
      <c r="F21" s="141" t="str">
        <f>IF(F20="Taip",CONCATENATE("Susidaro ", IF(F60=1,CONCATENATE(H60," "),""),IF(F61=1,CONCATENATE(H61," "),""),IF(F62=1,CONCATENATE(H62," "),""),IF(F63=1,CONCATENATE(H63," "),""),IF(F64=1,CONCATENATE(H64," "),""),IF(F65=1,"aplinkybė","aplinkybės")),"Išimčių nėra")</f>
        <v>Susidaro A3 A5 aplinkybės</v>
      </c>
      <c r="G21" s="103" t="str">
        <f>IF(G20="Taip",CONCATENATE("Susidaro ", IF(G60=1,CONCATENATE(I60," "),""),IF(G61=1,CONCATENATE(I61," "),""),IF(G62=1,CONCATENATE(I62," "),""),IF(G63=1,CONCATENATE(I63," "),""),IF(G64=1,CONCATENATE(I64," "),""),IF(G65=1,"aplinkybė","aplinkybės")),"Išimčių nėra")</f>
        <v>Susidaro A3 A5 aplinkybės</v>
      </c>
    </row>
    <row r="22" spans="2:8" ht="18" customHeight="1" x14ac:dyDescent="0.25">
      <c r="B22" s="343"/>
      <c r="C22" s="354" t="s">
        <v>240</v>
      </c>
      <c r="D22" s="416"/>
      <c r="E22" s="417"/>
      <c r="F22" s="165" t="str">
        <f>IF(F20="Taip","Yes","No")</f>
        <v>Yes</v>
      </c>
      <c r="G22" s="166" t="str">
        <f>IF(G20="Taip","Yes","No")</f>
        <v>Yes</v>
      </c>
    </row>
    <row r="23" spans="2:8" ht="30.75" customHeight="1" thickBot="1" x14ac:dyDescent="0.3">
      <c r="B23" s="350"/>
      <c r="C23" s="420"/>
      <c r="D23" s="418"/>
      <c r="E23" s="419"/>
      <c r="F23" s="125" t="str">
        <f>IF(F22="Yes",CONCATENATE(IF(F65=1,"Escape clause ","Escape clauses "), IF(F60=1,CONCATENATE(H60," "),""),IF(F61=1,CONCATENATE(H61," "),""),IF(F62=1,CONCATENATE(H62," "),""),IF(F63=1,CONCATENATE(H63," "),""),IF(F64=1,CONCATENATE(H64," "),""),"emerge"),"No escape clauses emerge")</f>
        <v>Escape clauses A3 A5 emerge</v>
      </c>
      <c r="G23" s="104" t="str">
        <f>IF(G22="Yes",CONCATENATE(IF(G65=1,"Escape clause ","Escape clauses "), IF(G60=1,CONCATENATE(I60," "),""),IF(G61=1,CONCATENATE(I61," "),""),IF(G62=1,CONCATENATE(I62," "),""),IF(G63=1,CONCATENATE(I63," "),""),IF(G64=1,CONCATENATE(I64," "),""),"emerge"),"No escape clauses emerge")</f>
        <v>Escape clauses A3 A5 emerge</v>
      </c>
    </row>
    <row r="24" spans="2:8" ht="33.75" customHeight="1" thickBot="1" x14ac:dyDescent="0.35">
      <c r="B24" s="129" t="s">
        <v>216</v>
      </c>
      <c r="C24" s="226" t="s">
        <v>241</v>
      </c>
      <c r="D24" s="412" t="s">
        <v>242</v>
      </c>
      <c r="E24" s="413"/>
      <c r="F24" s="410" t="s">
        <v>175</v>
      </c>
      <c r="G24" s="411"/>
      <c r="H24" s="70"/>
    </row>
    <row r="25" spans="2:8" ht="17.399999999999999" customHeight="1" x14ac:dyDescent="0.25">
      <c r="B25" s="342" t="s">
        <v>243</v>
      </c>
      <c r="C25" s="408" t="s">
        <v>244</v>
      </c>
      <c r="D25" s="184"/>
      <c r="E25" s="185"/>
      <c r="F25" s="68" t="str">
        <f>IF((F20="Taip"),"",IF(AVERAGE('2. Macro'!G37:K37)+eps&lt;0,"Tiesa","Netiesa"))</f>
        <v/>
      </c>
      <c r="G25" s="69" t="str">
        <f>IF((F20="Taip"),"",IF(AVERAGE('2. Macro'!G36:K36)+eps&lt;0,"Tiesa","Netiesa"))</f>
        <v/>
      </c>
    </row>
    <row r="26" spans="2:8" ht="15.75" customHeight="1" x14ac:dyDescent="0.25">
      <c r="B26" s="343"/>
      <c r="C26" s="409"/>
      <c r="D26" s="186" t="s">
        <v>245</v>
      </c>
      <c r="E26" s="187"/>
      <c r="F26" s="157" t="str">
        <f>IF((F20="Taip"),"",CONCATENATE(FIXED(AVERAGE('2. Macro'!G37:K37),1),IF(F25="Tiesa"," &lt; "," ≥ "),FIXED(0,1)))</f>
        <v/>
      </c>
      <c r="G26" s="163" t="str">
        <f>IF((G20="Taip"),"",CONCATENATE(FIXED(AVERAGE('2. Macro'!G36:K36),1),IF(G25="Tiesa"," &lt; "," ≥ "),FIXED(0,1)))</f>
        <v/>
      </c>
    </row>
    <row r="27" spans="2:8" ht="18" customHeight="1" thickBot="1" x14ac:dyDescent="0.3">
      <c r="B27" s="343"/>
      <c r="C27" s="409"/>
      <c r="D27" s="188"/>
      <c r="E27" s="189"/>
      <c r="F27" s="183" t="str">
        <f>IF(F22="Yes","",IF(F25="Tiesa","True","False"))</f>
        <v/>
      </c>
      <c r="G27" s="128" t="str">
        <f>IF(G22="Yes","",IF(G25="Tiesa","True","False"))</f>
        <v/>
      </c>
    </row>
    <row r="28" spans="2:8" ht="24" customHeight="1" x14ac:dyDescent="0.25">
      <c r="B28" s="343"/>
      <c r="C28" s="409"/>
      <c r="D28" s="190"/>
      <c r="E28" s="187"/>
      <c r="F28" s="204" t="str">
        <f>IF(OR(F20="Taip",F25="Netiesa"),"Netaikoma", IF(F36-$F$38&lt;=(F37-$F$39)*(1+0.5*F54),"Tiesa","Netiesa"))</f>
        <v>Netaikoma</v>
      </c>
      <c r="G28" s="163" t="str">
        <f>IF(OR(G20="Taip",G25="Netiesa"),"Netaikoma", IF(G36-$F$38&lt;=(G37-$F$39)*(1+0.5*G54),"Tiesa","Netiesa"))</f>
        <v>Netaikoma</v>
      </c>
    </row>
    <row r="29" spans="2:8" ht="69" customHeight="1" x14ac:dyDescent="0.25">
      <c r="B29" s="343"/>
      <c r="C29" s="409"/>
      <c r="D29" s="190"/>
      <c r="E29" s="187"/>
      <c r="F29" s="157" t="str">
        <f>IF(F20="Taip",IF(F65=1,"Susidarė viena iš KĮ numatytų netaikymo aplinkybių","Susidarė KĮ numatytos netaikymo aplinkybės"),CONCATENATE(ROUND(($G$36-F38)/($G$37-F39),3),IF(F28="Tiesa"," ≤ "," &gt; "), ROUND(1+0.5*F54,3)))</f>
        <v>Susidarė KĮ numatytos netaikymo aplinkybės</v>
      </c>
      <c r="G29" s="203" t="str">
        <f>IF(G20="Taip",IF(G65=1,"Susidarė viena iš KĮ numatytų netaikymo aplinkybių","Susidarė KĮ numatytos netaikymo aplinkybės"),CONCATENATE(ROUND(($G$36-G38)/($G$37-G39),3),IF(G28="Tiesa"," ≤ "," &gt; "), ROUND(1+0.5*G54,3)))</f>
        <v>Susidarė KĮ numatytos netaikymo aplinkybės</v>
      </c>
    </row>
    <row r="30" spans="2:8" ht="21" customHeight="1" x14ac:dyDescent="0.25">
      <c r="B30" s="343"/>
      <c r="C30" s="421" t="s">
        <v>246</v>
      </c>
      <c r="D30" s="190"/>
      <c r="E30" s="187"/>
      <c r="F30" s="159" t="str">
        <f>IF(F28="Netaikoma","Not applied",IF(F28="Tiesa","True","False"))</f>
        <v>Not applied</v>
      </c>
      <c r="G30" s="182" t="str">
        <f>IF(G28="Netaikoma","Not applied",IF(G28="Tiesa","True","False"))</f>
        <v>Not applied</v>
      </c>
    </row>
    <row r="31" spans="2:8" ht="70.5" customHeight="1" thickBot="1" x14ac:dyDescent="0.3">
      <c r="B31" s="350"/>
      <c r="C31" s="422"/>
      <c r="D31" s="188"/>
      <c r="E31" s="189"/>
      <c r="F31" s="191" t="str">
        <f>IF(F22="Yes",IF(F65=1,"CL escape clause emerged","CL escape clauses emerged"),"")</f>
        <v>CL escape clauses emerged</v>
      </c>
      <c r="G31" s="192" t="str">
        <f>IF(G22="Yes",IF(G65=1,"CL escape clause emerged","CL escape clauses emerged"),"")</f>
        <v>CL escape clauses emerged</v>
      </c>
    </row>
    <row r="32" spans="2:8" ht="28.5" customHeight="1" thickTop="1" x14ac:dyDescent="0.25">
      <c r="C32" s="392" t="s">
        <v>247</v>
      </c>
      <c r="D32" s="392"/>
      <c r="E32" s="392"/>
      <c r="F32" s="115"/>
      <c r="G32" s="115"/>
    </row>
    <row r="33" spans="3:8" ht="28.5" customHeight="1" x14ac:dyDescent="0.25">
      <c r="C33" s="379" t="s">
        <v>248</v>
      </c>
      <c r="D33" s="379"/>
      <c r="E33" s="379"/>
      <c r="F33" s="232"/>
      <c r="G33" s="232"/>
    </row>
    <row r="34" spans="3:8" ht="18.75" customHeight="1" thickBot="1" x14ac:dyDescent="0.3">
      <c r="C34" s="54" t="s">
        <v>249</v>
      </c>
      <c r="D34" s="233"/>
      <c r="E34" s="233"/>
      <c r="F34" s="232"/>
      <c r="G34" s="232"/>
    </row>
    <row r="35" spans="3:8" ht="15" customHeight="1" thickBot="1" x14ac:dyDescent="0.3">
      <c r="C35" s="108" t="s">
        <v>250</v>
      </c>
      <c r="D35" s="116"/>
      <c r="E35" s="98"/>
      <c r="F35" s="367">
        <v>2020</v>
      </c>
      <c r="G35" s="367"/>
    </row>
    <row r="36" spans="3:8" ht="14.4" thickBot="1" x14ac:dyDescent="0.3">
      <c r="C36" s="108"/>
      <c r="D36" s="114"/>
      <c r="E36" s="55" t="s">
        <v>251</v>
      </c>
      <c r="F36" s="71">
        <f>'3. GGbudget'!F21</f>
        <v>17687.256699999998</v>
      </c>
      <c r="G36" s="72">
        <f>'3. GGbudget'!H21</f>
        <v>17687.256699999998</v>
      </c>
    </row>
    <row r="37" spans="3:8" ht="15" customHeight="1" thickBot="1" x14ac:dyDescent="0.3">
      <c r="C37" s="114"/>
      <c r="D37" s="114"/>
      <c r="E37" s="55" t="s">
        <v>252</v>
      </c>
      <c r="F37" s="71">
        <f>'3. GGbudget'!E21</f>
        <v>15046.6381</v>
      </c>
      <c r="G37" s="72">
        <f>'3. GGbudget'!G21</f>
        <v>15046.6381</v>
      </c>
    </row>
    <row r="38" spans="3:8" ht="14.4" thickBot="1" x14ac:dyDescent="0.3">
      <c r="C38" s="114"/>
      <c r="D38" s="114"/>
      <c r="E38" s="55" t="s">
        <v>253</v>
      </c>
      <c r="F38" s="391">
        <v>1940.222</v>
      </c>
      <c r="G38" s="391"/>
      <c r="H38" s="111"/>
    </row>
    <row r="39" spans="3:8" ht="14.4" thickBot="1" x14ac:dyDescent="0.3">
      <c r="C39" s="114"/>
      <c r="D39" s="114"/>
      <c r="E39" s="55" t="s">
        <v>254</v>
      </c>
      <c r="F39" s="391">
        <v>1862.3230000000001</v>
      </c>
      <c r="G39" s="391"/>
      <c r="H39" s="111"/>
    </row>
    <row r="40" spans="3:8" ht="14.4" thickBot="1" x14ac:dyDescent="0.3">
      <c r="C40" s="54"/>
      <c r="D40" s="56"/>
      <c r="E40" s="55" t="s">
        <v>255</v>
      </c>
      <c r="F40" s="71">
        <f>'3. GGbudget'!F15</f>
        <v>21212.777999999998</v>
      </c>
      <c r="G40" s="72">
        <f>'3. GGbudget'!H15</f>
        <v>21212.777999999998</v>
      </c>
      <c r="H40" s="111"/>
    </row>
    <row r="41" spans="3:8" ht="14.4" thickBot="1" x14ac:dyDescent="0.3">
      <c r="C41" s="54"/>
      <c r="D41" s="56"/>
      <c r="E41" s="55" t="s">
        <v>256</v>
      </c>
      <c r="F41" s="71">
        <f>'3. GGbudget'!E15</f>
        <v>16900.045999999998</v>
      </c>
      <c r="G41" s="72">
        <f>'3. GGbudget'!G15</f>
        <v>16900.045999999998</v>
      </c>
      <c r="H41" s="111"/>
    </row>
    <row r="42" spans="3:8" ht="14.4" thickBot="1" x14ac:dyDescent="0.3">
      <c r="C42" s="54"/>
      <c r="D42" s="56"/>
      <c r="E42" s="55" t="s">
        <v>257</v>
      </c>
      <c r="F42" s="225">
        <f>'2. Macro'!M37-'2. Macro'!L37</f>
        <v>-7.8336878171098068</v>
      </c>
      <c r="G42" s="74">
        <f>'2. Macro'!M36-'2. Macro'!L36</f>
        <v>-7.8336878171098068</v>
      </c>
    </row>
    <row r="43" spans="3:8" ht="14.4" thickBot="1" x14ac:dyDescent="0.3">
      <c r="C43" s="73"/>
      <c r="D43" s="56"/>
      <c r="E43" s="55" t="s">
        <v>258</v>
      </c>
      <c r="F43" s="225">
        <f>('2. Macro'!M37-'2. Macro'!L37)-('2. Macro'!L37-'2. Macro'!K37)</f>
        <v>-7.6710902299110453</v>
      </c>
      <c r="G43" s="74">
        <f>('2. Macro'!M36-'2. Macro'!L36)-('2. Macro'!L36-'2. Macro'!K36)</f>
        <v>-7.6710902299110453</v>
      </c>
    </row>
    <row r="44" spans="3:8" ht="14.4" thickBot="1" x14ac:dyDescent="0.3">
      <c r="C44" s="75" t="s">
        <v>259</v>
      </c>
      <c r="D44" s="56"/>
      <c r="E44" s="75" t="s">
        <v>260</v>
      </c>
      <c r="F44" s="386">
        <v>1.0219613878892746</v>
      </c>
      <c r="G44" s="387"/>
    </row>
    <row r="45" spans="3:8" ht="15" customHeight="1" thickBot="1" x14ac:dyDescent="0.3">
      <c r="C45" s="75" t="s">
        <v>261</v>
      </c>
      <c r="D45" s="56"/>
      <c r="E45" s="75" t="s">
        <v>262</v>
      </c>
      <c r="F45" s="386">
        <v>1.0182581092873191</v>
      </c>
      <c r="G45" s="387"/>
    </row>
    <row r="46" spans="3:8" ht="15" customHeight="1" thickBot="1" x14ac:dyDescent="0.3">
      <c r="C46" s="75" t="s">
        <v>263</v>
      </c>
      <c r="D46" s="56"/>
      <c r="E46" s="75" t="s">
        <v>264</v>
      </c>
      <c r="F46" s="388">
        <v>1.0240700967429481</v>
      </c>
      <c r="G46" s="389"/>
    </row>
    <row r="47" spans="3:8" ht="15" customHeight="1" thickBot="1" x14ac:dyDescent="0.3">
      <c r="C47" s="75" t="s">
        <v>265</v>
      </c>
      <c r="D47" s="56"/>
      <c r="E47" s="75" t="s">
        <v>266</v>
      </c>
      <c r="F47" s="388">
        <v>1.0267328142822372</v>
      </c>
      <c r="G47" s="389"/>
    </row>
    <row r="48" spans="3:8" ht="15" customHeight="1" thickBot="1" x14ac:dyDescent="0.3">
      <c r="C48" s="76" t="s">
        <v>267</v>
      </c>
      <c r="D48" s="56"/>
      <c r="E48" s="75" t="s">
        <v>268</v>
      </c>
      <c r="F48" s="225">
        <v>7.2983665817453796</v>
      </c>
      <c r="G48" s="74">
        <v>7.2983665817453796</v>
      </c>
    </row>
    <row r="49" spans="2:9" ht="15" customHeight="1" thickBot="1" x14ac:dyDescent="0.3">
      <c r="D49" s="56"/>
      <c r="E49" s="55" t="s">
        <v>269</v>
      </c>
      <c r="F49" s="225">
        <f>'2. Macro'!M20</f>
        <v>-0.56542594895878651</v>
      </c>
      <c r="G49" s="74">
        <f>'2. Macro'!M19</f>
        <v>-0.34865843671618713</v>
      </c>
    </row>
    <row r="50" spans="2:9" ht="15" customHeight="1" thickBot="1" x14ac:dyDescent="0.3">
      <c r="D50" s="56"/>
      <c r="E50" s="55" t="s">
        <v>270</v>
      </c>
      <c r="F50" s="390">
        <f>'2. Macro'!M31</f>
        <v>1.1000000000000001</v>
      </c>
      <c r="G50" s="390"/>
    </row>
    <row r="51" spans="2:9" ht="15" customHeight="1" thickBot="1" x14ac:dyDescent="0.3">
      <c r="D51" s="55"/>
      <c r="E51" s="55" t="s">
        <v>271</v>
      </c>
      <c r="F51" s="77">
        <f>+F36-F38</f>
        <v>15747.034699999998</v>
      </c>
      <c r="G51" s="77">
        <f>+G36-F38</f>
        <v>15747.034699999998</v>
      </c>
    </row>
    <row r="52" spans="2:9" ht="15" customHeight="1" thickBot="1" x14ac:dyDescent="0.3">
      <c r="D52" s="55"/>
      <c r="E52" s="55" t="s">
        <v>272</v>
      </c>
      <c r="F52" s="78">
        <f>+F37-F39</f>
        <v>13184.3151</v>
      </c>
      <c r="G52" s="79">
        <f>+G37-F39</f>
        <v>13184.3151</v>
      </c>
    </row>
    <row r="53" spans="2:9" ht="15" customHeight="1" thickBot="1" x14ac:dyDescent="0.3">
      <c r="D53" s="55"/>
      <c r="E53" s="55" t="s">
        <v>273</v>
      </c>
      <c r="F53" s="77">
        <f>+(F51/F52-1)*100</f>
        <v>19.437639199020641</v>
      </c>
      <c r="G53" s="80">
        <f>+(G51/G52-1)*100</f>
        <v>19.437639199020641</v>
      </c>
    </row>
    <row r="54" spans="2:9" s="12" customFormat="1" ht="16.8" thickBot="1" x14ac:dyDescent="0.4">
      <c r="B54" s="110"/>
      <c r="C54" s="1"/>
      <c r="D54" s="55"/>
      <c r="E54" s="55" t="s">
        <v>274</v>
      </c>
      <c r="F54" s="132">
        <f>(POWER('2. Macro'!O16/'2. Macro'!E16,0.1)*POWER(PRODUCT(F44:F47),0.25)-1)</f>
        <v>5.195193405792109E-2</v>
      </c>
      <c r="G54" s="77">
        <f>(POWER('2. Macro'!O15/'2. Macro'!E15,0.1)*POWER(PRODUCT(F44:F47),0.25)-1)</f>
        <v>5.0180395223521801E-2</v>
      </c>
    </row>
    <row r="55" spans="2:9" s="12" customFormat="1" x14ac:dyDescent="0.25">
      <c r="B55" s="110"/>
      <c r="C55" s="1"/>
      <c r="D55" s="55"/>
      <c r="E55" s="55"/>
      <c r="F55" s="84"/>
      <c r="G55" s="84"/>
    </row>
    <row r="56" spans="2:9" s="12" customFormat="1" ht="15" thickBot="1" x14ac:dyDescent="0.35">
      <c r="B56" s="110"/>
      <c r="C56" s="1"/>
      <c r="D56" s="10"/>
      <c r="E56" s="10" t="s">
        <v>51</v>
      </c>
      <c r="F56" s="10"/>
      <c r="G56" s="5"/>
      <c r="H56" s="213" t="s">
        <v>52</v>
      </c>
    </row>
    <row r="57" spans="2:9" s="12" customFormat="1" ht="15" thickBot="1" x14ac:dyDescent="0.35">
      <c r="B57" s="110"/>
      <c r="C57" s="1"/>
      <c r="D57" s="10"/>
      <c r="E57" s="10" t="s">
        <v>53</v>
      </c>
      <c r="F57" s="380" t="s">
        <v>24</v>
      </c>
      <c r="G57" s="381"/>
      <c r="H57" s="213" t="s">
        <v>54</v>
      </c>
    </row>
    <row r="58" spans="2:9" s="12" customFormat="1" ht="15" thickBot="1" x14ac:dyDescent="0.35">
      <c r="B58" s="110"/>
      <c r="C58" s="1"/>
      <c r="D58" s="10"/>
      <c r="E58" s="10" t="s">
        <v>55</v>
      </c>
      <c r="F58" s="382" t="s">
        <v>25</v>
      </c>
      <c r="G58" s="383"/>
      <c r="H58" s="241" t="s">
        <v>56</v>
      </c>
    </row>
    <row r="59" spans="2:9" s="12" customFormat="1" ht="15" thickBot="1" x14ac:dyDescent="0.35">
      <c r="B59" s="110"/>
      <c r="C59" s="1"/>
      <c r="D59" s="10"/>
      <c r="E59" s="10" t="s">
        <v>275</v>
      </c>
      <c r="F59" s="384" t="s">
        <v>276</v>
      </c>
      <c r="G59" s="385"/>
      <c r="H59" s="213" t="s">
        <v>277</v>
      </c>
    </row>
    <row r="60" spans="2:9" s="12" customFormat="1" x14ac:dyDescent="0.25">
      <c r="B60" s="62"/>
      <c r="D60" s="234" t="s">
        <v>278</v>
      </c>
      <c r="E60" s="234"/>
      <c r="F60" s="235">
        <f>IF(F6="Tiesa",1,0)</f>
        <v>0</v>
      </c>
      <c r="G60" s="235">
        <f>IF(G6="Tiesa",1,0)</f>
        <v>0</v>
      </c>
      <c r="H60" s="234" t="str">
        <f>IF(F60=1,$D60,"")</f>
        <v/>
      </c>
      <c r="I60" s="234" t="str">
        <f>IF(G60=1,$D60,"")</f>
        <v/>
      </c>
    </row>
    <row r="61" spans="2:9" x14ac:dyDescent="0.25">
      <c r="B61" s="62"/>
      <c r="C61" s="12"/>
      <c r="D61" s="234" t="s">
        <v>279</v>
      </c>
      <c r="E61" s="234"/>
      <c r="F61" s="235">
        <f>IF(F9="Tiesa",1,0)</f>
        <v>0</v>
      </c>
      <c r="G61" s="235">
        <f>IF(G9="Tiesa",1,0)</f>
        <v>0</v>
      </c>
      <c r="H61" s="234" t="str">
        <f t="shared" ref="H61:I64" si="0">IF(F61=1,$D61,"")</f>
        <v/>
      </c>
      <c r="I61" s="234" t="str">
        <f t="shared" si="0"/>
        <v/>
      </c>
    </row>
    <row r="62" spans="2:9" x14ac:dyDescent="0.25">
      <c r="C62" s="23"/>
      <c r="D62" s="234" t="s">
        <v>280</v>
      </c>
      <c r="E62" s="234"/>
      <c r="F62" s="235">
        <f>IF(F12="Tiesa",1,0)</f>
        <v>1</v>
      </c>
      <c r="G62" s="235">
        <f>IF(G12="Tiesa",1,0)</f>
        <v>1</v>
      </c>
      <c r="H62" s="234" t="str">
        <f>IF(F62=1,$D62,"")</f>
        <v>A3</v>
      </c>
      <c r="I62" s="234" t="str">
        <f t="shared" si="0"/>
        <v>A3</v>
      </c>
    </row>
    <row r="63" spans="2:9" x14ac:dyDescent="0.25">
      <c r="D63" s="234" t="s">
        <v>281</v>
      </c>
      <c r="E63" s="234"/>
      <c r="F63" s="235">
        <f>IF(F15="Tiesa",1,0)</f>
        <v>0</v>
      </c>
      <c r="G63" s="235">
        <f>IF(G15="Tiesa",1,0)</f>
        <v>0</v>
      </c>
      <c r="H63" s="234" t="str">
        <f t="shared" si="0"/>
        <v/>
      </c>
      <c r="I63" s="234" t="str">
        <f t="shared" si="0"/>
        <v/>
      </c>
    </row>
    <row r="64" spans="2:9" x14ac:dyDescent="0.25">
      <c r="D64" s="234" t="s">
        <v>282</v>
      </c>
      <c r="E64" s="234"/>
      <c r="F64" s="235">
        <f>IF(F17="Tiesa",1,0)</f>
        <v>1</v>
      </c>
      <c r="G64" s="235">
        <f>IF(G17="Tiesa",1,0)</f>
        <v>1</v>
      </c>
      <c r="H64" s="234" t="str">
        <f t="shared" si="0"/>
        <v>A5</v>
      </c>
      <c r="I64" s="234" t="str">
        <f>IF(G64=1,$D64,"")</f>
        <v>A5</v>
      </c>
    </row>
    <row r="65" spans="4:9" x14ac:dyDescent="0.25">
      <c r="D65" s="181"/>
      <c r="E65" s="181"/>
      <c r="F65" s="235">
        <f>SUM(F60:F64)</f>
        <v>2</v>
      </c>
      <c r="G65" s="235">
        <f>SUM(G60:G64)</f>
        <v>2</v>
      </c>
      <c r="H65" s="181"/>
      <c r="I65" s="181"/>
    </row>
    <row r="66" spans="4:9" x14ac:dyDescent="0.25">
      <c r="D66" s="181"/>
      <c r="E66" s="181"/>
      <c r="F66" s="181"/>
      <c r="G66" s="181"/>
      <c r="H66" s="181"/>
      <c r="I66" s="181"/>
    </row>
  </sheetData>
  <mergeCells count="41">
    <mergeCell ref="B15:B16"/>
    <mergeCell ref="D15:E16"/>
    <mergeCell ref="C17:C18"/>
    <mergeCell ref="D17:E19"/>
    <mergeCell ref="B17:B19"/>
    <mergeCell ref="F24:G24"/>
    <mergeCell ref="D24:E24"/>
    <mergeCell ref="C25:C29"/>
    <mergeCell ref="B20:B23"/>
    <mergeCell ref="D20:E23"/>
    <mergeCell ref="C20:C21"/>
    <mergeCell ref="C22:C23"/>
    <mergeCell ref="B25:B31"/>
    <mergeCell ref="C30:C31"/>
    <mergeCell ref="C33:E33"/>
    <mergeCell ref="C6:C7"/>
    <mergeCell ref="C32:E32"/>
    <mergeCell ref="B1:C1"/>
    <mergeCell ref="B3:G3"/>
    <mergeCell ref="D4:E4"/>
    <mergeCell ref="F4:G4"/>
    <mergeCell ref="D6:E8"/>
    <mergeCell ref="B6:B8"/>
    <mergeCell ref="B9:B11"/>
    <mergeCell ref="D9:E11"/>
    <mergeCell ref="B12:B14"/>
    <mergeCell ref="D12:E14"/>
    <mergeCell ref="C9:C10"/>
    <mergeCell ref="C12:C13"/>
    <mergeCell ref="B5:E5"/>
    <mergeCell ref="F57:G57"/>
    <mergeCell ref="F58:G58"/>
    <mergeCell ref="F59:G59"/>
    <mergeCell ref="F35:G35"/>
    <mergeCell ref="F45:G45"/>
    <mergeCell ref="F46:G46"/>
    <mergeCell ref="F47:G47"/>
    <mergeCell ref="F44:G44"/>
    <mergeCell ref="F50:G50"/>
    <mergeCell ref="F38:G38"/>
    <mergeCell ref="F39:G3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ignoredErrors>
    <ignoredError sqref="F54:G54" formulaRange="1"/>
  </ignoredErrors>
  <drawing r:id="rId2"/>
  <extLst>
    <ext xmlns:x14="http://schemas.microsoft.com/office/spreadsheetml/2009/9/main" uri="{78C0D931-6437-407d-A8EE-F0AAD7539E65}">
      <x14:conditionalFormattings>
        <x14:conditionalFormatting xmlns:xm="http://schemas.microsoft.com/office/excel/2006/main">
          <x14:cfRule type="iconSet" priority="4"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1"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0"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G12:G13</xm:sqref>
        </x14:conditionalFormatting>
        <x14:conditionalFormatting xmlns:xm="http://schemas.microsoft.com/office/excel/2006/main">
          <x14:cfRule type="iconSet" priority="9"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8"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G7:G8</xm:sqref>
        </x14:conditionalFormatting>
        <x14:conditionalFormatting xmlns:xm="http://schemas.microsoft.com/office/excel/2006/main">
          <x14:cfRule type="iconSet" priority="12"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xm:sqref>
        </x14:conditionalFormatting>
        <x14:conditionalFormatting xmlns:xm="http://schemas.microsoft.com/office/excel/2006/main">
          <x14:cfRule type="iconSet" priority="13"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F12:F13</xm:sqref>
        </x14:conditionalFormatting>
        <x14:conditionalFormatting xmlns:xm="http://schemas.microsoft.com/office/excel/2006/main">
          <x14:cfRule type="iconSet" priority="14"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15"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F7:F8</xm:sqref>
        </x14:conditionalFormatting>
        <x14:conditionalFormatting xmlns:xm="http://schemas.microsoft.com/office/excel/2006/main">
          <x14:cfRule type="iconSet" priority="16"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F9:F11</xm:sqref>
        </x14:conditionalFormatting>
        <x14:conditionalFormatting xmlns:xm="http://schemas.microsoft.com/office/excel/2006/main">
          <x14:cfRule type="iconSet" priority="17"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F19:G19 G18</xm:sqref>
        </x14:conditionalFormatting>
        <x14:conditionalFormatting xmlns:xm="http://schemas.microsoft.com/office/excel/2006/main">
          <x14:cfRule type="iconSet" priority="5"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G6</xm:sqref>
        </x14:conditionalFormatting>
        <x14:conditionalFormatting xmlns:xm="http://schemas.microsoft.com/office/excel/2006/main">
          <x14:cfRule type="iconSet" priority="1"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rgb="FF47ABD9"/>
  </sheetPr>
  <dimension ref="A1:H38"/>
  <sheetViews>
    <sheetView showGridLines="0" showRowColHeaders="0" zoomScaleNormal="100" workbookViewId="0"/>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356" t="s">
        <v>19</v>
      </c>
      <c r="C1" s="356"/>
      <c r="D1" s="2"/>
    </row>
    <row r="2" spans="1:8" ht="14.4" thickBot="1" x14ac:dyDescent="0.3">
      <c r="A2" s="12" t="s">
        <v>20</v>
      </c>
    </row>
    <row r="3" spans="1:8" ht="38.25" customHeight="1" thickTop="1" thickBot="1" x14ac:dyDescent="0.3">
      <c r="B3" s="293" t="s">
        <v>283</v>
      </c>
      <c r="C3" s="357"/>
      <c r="D3" s="357"/>
      <c r="E3" s="357"/>
      <c r="F3" s="358"/>
    </row>
    <row r="4" spans="1:8" ht="28.8" thickBot="1" x14ac:dyDescent="0.35">
      <c r="B4" s="106" t="s">
        <v>216</v>
      </c>
      <c r="C4" s="226" t="s">
        <v>241</v>
      </c>
      <c r="D4" s="226" t="s">
        <v>174</v>
      </c>
      <c r="E4" s="410" t="s">
        <v>175</v>
      </c>
      <c r="F4" s="411"/>
    </row>
    <row r="5" spans="1:8" ht="30" customHeight="1" thickBot="1" x14ac:dyDescent="0.3">
      <c r="B5" s="361" t="s">
        <v>176</v>
      </c>
      <c r="C5" s="362"/>
      <c r="D5" s="363"/>
      <c r="E5" s="130" t="s">
        <v>24</v>
      </c>
      <c r="F5" s="131" t="s">
        <v>25</v>
      </c>
    </row>
    <row r="6" spans="1:8" ht="104.25" customHeight="1" x14ac:dyDescent="0.25">
      <c r="B6" s="222" t="s">
        <v>284</v>
      </c>
      <c r="C6" s="194" t="s">
        <v>285</v>
      </c>
      <c r="D6" s="435" t="s">
        <v>286</v>
      </c>
      <c r="E6" s="156" t="s">
        <v>287</v>
      </c>
      <c r="F6" s="158" t="s">
        <v>287</v>
      </c>
    </row>
    <row r="7" spans="1:8" ht="61.5" customHeight="1" thickBot="1" x14ac:dyDescent="0.3">
      <c r="B7" s="223"/>
      <c r="C7" s="195" t="s">
        <v>288</v>
      </c>
      <c r="D7" s="437"/>
      <c r="E7" s="92" t="s">
        <v>289</v>
      </c>
      <c r="F7" s="127" t="s">
        <v>289</v>
      </c>
      <c r="H7" s="46"/>
    </row>
    <row r="8" spans="1:8" ht="34.5" customHeight="1" thickBot="1" x14ac:dyDescent="0.3">
      <c r="B8" s="224"/>
      <c r="C8" s="438" t="s">
        <v>290</v>
      </c>
      <c r="D8" s="439"/>
      <c r="E8" s="81"/>
      <c r="F8" s="126"/>
    </row>
    <row r="9" spans="1:8" ht="29.25" customHeight="1" x14ac:dyDescent="0.25">
      <c r="B9" s="342" t="s">
        <v>291</v>
      </c>
      <c r="C9" s="427" t="s">
        <v>317</v>
      </c>
      <c r="D9" s="435" t="s">
        <v>292</v>
      </c>
      <c r="E9" s="63" t="str">
        <f>IF(E32&gt;=0,"Tiesa","Netiesa")</f>
        <v>Tiesa</v>
      </c>
      <c r="F9" s="64" t="str">
        <f>IF(F32&gt;=0,"Tiesa","Netiesa")</f>
        <v>Tiesa</v>
      </c>
    </row>
    <row r="10" spans="1:8" ht="29.25" customHeight="1" x14ac:dyDescent="0.25">
      <c r="B10" s="343"/>
      <c r="C10" s="428"/>
      <c r="D10" s="436"/>
      <c r="E10" s="157" t="str">
        <f>CONCATENATE(FIXED(E32,1),IF(E32&gt;= 0," ≥ "," &lt; "),FIXED(0,1))</f>
        <v>0,1 ≥ 0,0</v>
      </c>
      <c r="F10" s="105" t="str">
        <f>CONCATENATE(FIXED(F32,1),IF(F32&gt;= 0," ≥ "," &lt; "),FIXED(0,1))</f>
        <v>0,1 ≥ 0,0</v>
      </c>
    </row>
    <row r="11" spans="1:8" ht="35.25" customHeight="1" thickBot="1" x14ac:dyDescent="0.3">
      <c r="B11" s="343"/>
      <c r="C11" s="196" t="s">
        <v>293</v>
      </c>
      <c r="D11" s="437"/>
      <c r="E11" s="92" t="str">
        <f>IF(E9="Tiesa","True","False")</f>
        <v>True</v>
      </c>
      <c r="F11" s="117" t="str">
        <f>IF(F9="Tiesa","True","False")</f>
        <v>True</v>
      </c>
    </row>
    <row r="12" spans="1:8" ht="21.75" customHeight="1" x14ac:dyDescent="0.25">
      <c r="B12" s="343"/>
      <c r="C12" s="440" t="s">
        <v>294</v>
      </c>
      <c r="D12" s="440"/>
      <c r="E12" s="119" t="str">
        <f>IF(E9="Netiesa","Netenkinama","Tenkinama")</f>
        <v>Tenkinama</v>
      </c>
      <c r="F12" s="120" t="str">
        <f>IF(F9="Netiesa","Netenkinama","Tenkinama")</f>
        <v>Tenkinama</v>
      </c>
    </row>
    <row r="13" spans="1:8" ht="21.75" customHeight="1" thickBot="1" x14ac:dyDescent="0.3">
      <c r="B13" s="350"/>
      <c r="C13" s="420" t="s">
        <v>295</v>
      </c>
      <c r="D13" s="420"/>
      <c r="E13" s="118" t="str">
        <f>IF(E12="Tenkinama","Valid","Invalid ")</f>
        <v>Valid</v>
      </c>
      <c r="F13" s="121" t="str">
        <f>IF(F12="Tenkinama","Valid","Invalid ")</f>
        <v>Valid</v>
      </c>
    </row>
    <row r="14" spans="1:8" ht="17.399999999999999" customHeight="1" x14ac:dyDescent="0.25">
      <c r="B14" s="342" t="s">
        <v>296</v>
      </c>
      <c r="C14" s="408" t="s">
        <v>297</v>
      </c>
      <c r="D14" s="429" t="s">
        <v>298</v>
      </c>
      <c r="E14" s="63" t="str">
        <f>IF(E29+eps&lt;0, "Tiesa","Netiesa")</f>
        <v>Tiesa</v>
      </c>
      <c r="F14" s="64" t="str">
        <f>IF(E29+eps&lt;0,"Tiesa","Netiesa")</f>
        <v>Tiesa</v>
      </c>
    </row>
    <row r="15" spans="1:8" ht="38.25" customHeight="1" x14ac:dyDescent="0.25">
      <c r="B15" s="343"/>
      <c r="C15" s="409"/>
      <c r="D15" s="430"/>
      <c r="E15" s="102" t="str">
        <f>CONCATENATE(FIXED(E29,1),IF(E29+eps&lt;0," &lt; "," ≥ "),FIXED(0,1))</f>
        <v>-0,6 &lt; 0,0</v>
      </c>
      <c r="F15" s="124" t="str">
        <f>CONCATENATE(FIXED(F29,1),IF(F29+eps&lt;0," &lt; "," ≥ "),FIXED(0,1))</f>
        <v>-0,3 &lt; 0,0</v>
      </c>
    </row>
    <row r="16" spans="1:8" ht="21" customHeight="1" thickBot="1" x14ac:dyDescent="0.3">
      <c r="B16" s="343"/>
      <c r="C16" s="409"/>
      <c r="D16" s="430"/>
      <c r="E16" s="92" t="str">
        <f>IF(E14="Tiesa","True","False")</f>
        <v>True</v>
      </c>
      <c r="F16" s="128" t="str">
        <f>IF(F14="Tiesa","True","False")</f>
        <v>True</v>
      </c>
    </row>
    <row r="17" spans="2:8" ht="18.75" customHeight="1" x14ac:dyDescent="0.25">
      <c r="B17" s="343"/>
      <c r="C17" s="421" t="s">
        <v>299</v>
      </c>
      <c r="D17" s="430" t="s">
        <v>300</v>
      </c>
      <c r="E17" s="65" t="str">
        <f>IF(OR((E29&gt;=0)*(E30&gt;=0),(E29&gt;=0)*(E30&gt;=E31)),"Tiesa","Netiesa")</f>
        <v>Netiesa</v>
      </c>
      <c r="F17" s="64" t="str">
        <f>IF(OR((F29&gt;=0)*(F30&gt;=0),(F29&gt;=0)*(F30&gt;=F31)),"Tiesa","Netiesa")</f>
        <v>Netiesa</v>
      </c>
    </row>
    <row r="18" spans="2:8" ht="47.25" customHeight="1" x14ac:dyDescent="0.25">
      <c r="B18" s="343"/>
      <c r="C18" s="421"/>
      <c r="D18" s="430"/>
      <c r="E18" s="157" t="str">
        <f>CONCATENATE(FIXED(E29,1),,IF(E29&lt;0," &lt; "," ≥ "),FIXED(0,1), " &amp;
","(",
 FIXED(E30,1),IF(E30&gt;=E31," ≥ "," &lt; "), FIXED(E31,1), " arba / or ",FIXED(E30,1),IF(E30&lt;0," &lt; "," ≥ "),FIXED(0,1),")")</f>
        <v>-0,6 &lt; 0,0 &amp;
(0,5 ≥ 0,1 arba / or 0,5 ≥ 0,0)</v>
      </c>
      <c r="F18" s="124" t="str">
        <f>CONCATENATE(FIXED(F29,1),,IF(F29&lt;0," &lt; "," ≥ "),FIXED(0,1), " &amp;
","(", FIXED(F30,1),IF(F30&gt;=F31," ≥ "," &lt; "), FIXED(F31,1), " arba / or ",FIXED(F30,1),IF(F30&lt;0," &lt; "," ≥ "),FIXED(0,1),")")</f>
        <v>-0,3 &lt; 0,0 &amp;
(0,5 ≥ 0,2 arba / or 0,5 ≥ 0,0)</v>
      </c>
    </row>
    <row r="19" spans="2:8" ht="18" customHeight="1" thickBot="1" x14ac:dyDescent="0.3">
      <c r="B19" s="343"/>
      <c r="C19" s="422"/>
      <c r="D19" s="431"/>
      <c r="E19" s="92" t="str">
        <f>IF(E17="Tiesa","True","False")</f>
        <v>False</v>
      </c>
      <c r="F19" s="127" t="str">
        <f>IF(F17="Tiesa","True","False")</f>
        <v>False</v>
      </c>
    </row>
    <row r="20" spans="2:8" ht="21" customHeight="1" x14ac:dyDescent="0.25">
      <c r="B20" s="343"/>
      <c r="C20" s="440" t="s">
        <v>301</v>
      </c>
      <c r="D20" s="440"/>
      <c r="E20" s="122" t="str">
        <f>IF(OR(E14="Tiesa",E17="Tiesa"),"Tenkinama","Netenkinama")</f>
        <v>Tenkinama</v>
      </c>
      <c r="F20" s="120" t="str">
        <f>IF(OR(F14="Tiesa",F17="Tiesa"),"Tenkinama","Netenkinama")</f>
        <v>Tenkinama</v>
      </c>
    </row>
    <row r="21" spans="2:8" ht="21" customHeight="1" thickBot="1" x14ac:dyDescent="0.3">
      <c r="B21" s="350"/>
      <c r="C21" s="420" t="s">
        <v>302</v>
      </c>
      <c r="D21" s="420"/>
      <c r="E21" s="125" t="str">
        <f>IF(E20="Tenkinama","Valid","Invalid ")</f>
        <v>Valid</v>
      </c>
      <c r="F21" s="121" t="str">
        <f>IF(F20="Tenkinama","Valid","Invalid ")</f>
        <v>Valid</v>
      </c>
    </row>
    <row r="22" spans="2:8" ht="101.25" customHeight="1" thickBot="1" x14ac:dyDescent="0.3">
      <c r="B22" s="423" t="s">
        <v>303</v>
      </c>
      <c r="C22" s="194" t="s">
        <v>304</v>
      </c>
      <c r="D22" s="227" t="s">
        <v>305</v>
      </c>
      <c r="E22" s="156" t="s">
        <v>287</v>
      </c>
      <c r="F22" s="158" t="s">
        <v>287</v>
      </c>
    </row>
    <row r="23" spans="2:8" ht="64.5" customHeight="1" thickBot="1" x14ac:dyDescent="0.3">
      <c r="B23" s="423"/>
      <c r="C23" s="433" t="s">
        <v>306</v>
      </c>
      <c r="D23" s="430" t="s">
        <v>307</v>
      </c>
      <c r="E23" s="442" t="s">
        <v>289</v>
      </c>
      <c r="F23" s="441" t="s">
        <v>289</v>
      </c>
    </row>
    <row r="24" spans="2:8" ht="42" customHeight="1" thickBot="1" x14ac:dyDescent="0.3">
      <c r="B24" s="423"/>
      <c r="C24" s="434"/>
      <c r="D24" s="431"/>
      <c r="E24" s="442"/>
      <c r="F24" s="441"/>
    </row>
    <row r="25" spans="2:8" ht="19.5" customHeight="1" thickBot="1" x14ac:dyDescent="0.3">
      <c r="B25" s="342"/>
      <c r="C25" s="372" t="s">
        <v>49</v>
      </c>
      <c r="D25" s="432"/>
      <c r="E25" s="122"/>
      <c r="F25" s="158"/>
    </row>
    <row r="26" spans="2:8" ht="19.5" customHeight="1" thickBot="1" x14ac:dyDescent="0.3">
      <c r="B26" s="424"/>
      <c r="C26" s="425" t="s">
        <v>50</v>
      </c>
      <c r="D26" s="426"/>
      <c r="E26" s="53"/>
      <c r="F26" s="123"/>
    </row>
    <row r="27" spans="2:8" ht="15" thickTop="1" thickBot="1" x14ac:dyDescent="0.3">
      <c r="C27" s="54" t="s">
        <v>308</v>
      </c>
      <c r="D27" s="29"/>
      <c r="E27" s="29"/>
      <c r="F27" s="29"/>
      <c r="H27" s="55"/>
    </row>
    <row r="28" spans="2:8" ht="14.4" thickBot="1" x14ac:dyDescent="0.3">
      <c r="C28" s="108" t="s">
        <v>309</v>
      </c>
      <c r="D28" s="55" t="s">
        <v>201</v>
      </c>
      <c r="E28" s="367">
        <v>2020</v>
      </c>
      <c r="F28" s="367"/>
      <c r="H28" s="55"/>
    </row>
    <row r="29" spans="2:8" ht="14.4" thickBot="1" x14ac:dyDescent="0.3">
      <c r="D29" s="55" t="s">
        <v>205</v>
      </c>
      <c r="E29" s="82">
        <f>'2. Macro'!M20</f>
        <v>-0.56542594895878651</v>
      </c>
      <c r="F29" s="83">
        <f>'2. Macro'!M19</f>
        <v>-0.34865843671618713</v>
      </c>
      <c r="H29" s="55"/>
    </row>
    <row r="30" spans="2:8" ht="16.8" thickBot="1" x14ac:dyDescent="0.4">
      <c r="D30" s="55" t="s">
        <v>310</v>
      </c>
      <c r="E30" s="82">
        <f>'3. GGbudget'!F31</f>
        <v>0.54646960503100983</v>
      </c>
      <c r="F30" s="83">
        <f>'3. GGbudget'!H31</f>
        <v>0.52739406395366106</v>
      </c>
      <c r="H30" s="55"/>
    </row>
    <row r="31" spans="2:8" ht="16.8" thickBot="1" x14ac:dyDescent="0.4">
      <c r="D31" s="55" t="s">
        <v>311</v>
      </c>
      <c r="E31" s="82">
        <f>'3. GGbudget'!E31</f>
        <v>0.14882192022592805</v>
      </c>
      <c r="F31" s="83">
        <f>'3. GGbudget'!G31</f>
        <v>0.2012363984523719</v>
      </c>
      <c r="G31" s="26"/>
      <c r="H31" s="55"/>
    </row>
    <row r="32" spans="2:8" ht="16.8" thickBot="1" x14ac:dyDescent="0.4">
      <c r="D32" s="55" t="s">
        <v>312</v>
      </c>
      <c r="E32" s="82">
        <f>'3. GGbudget'!F32</f>
        <v>9.3291593821089036E-2</v>
      </c>
      <c r="F32" s="83">
        <f>'3. GGbudget'!H32</f>
        <v>8.4187358306899857E-2</v>
      </c>
      <c r="H32" s="10"/>
    </row>
    <row r="33" spans="4:8" ht="15" thickBot="1" x14ac:dyDescent="0.35">
      <c r="D33" s="10" t="s">
        <v>51</v>
      </c>
      <c r="E33" s="10"/>
      <c r="F33" s="5"/>
      <c r="G33" s="136" t="s">
        <v>313</v>
      </c>
      <c r="H33" s="10"/>
    </row>
    <row r="34" spans="4:8" ht="15" thickBot="1" x14ac:dyDescent="0.35">
      <c r="D34" s="10" t="s">
        <v>53</v>
      </c>
      <c r="E34" s="380" t="s">
        <v>24</v>
      </c>
      <c r="F34" s="381"/>
      <c r="G34" s="136" t="s">
        <v>54</v>
      </c>
      <c r="H34" s="10"/>
    </row>
    <row r="35" spans="4:8" ht="15" thickBot="1" x14ac:dyDescent="0.35">
      <c r="D35" s="10" t="s">
        <v>55</v>
      </c>
      <c r="E35" s="382" t="s">
        <v>25</v>
      </c>
      <c r="F35" s="383"/>
      <c r="G35" s="241" t="s">
        <v>56</v>
      </c>
    </row>
    <row r="36" spans="4:8" x14ac:dyDescent="0.25">
      <c r="E36" s="55"/>
    </row>
    <row r="37" spans="4:8" x14ac:dyDescent="0.25">
      <c r="E37" s="55"/>
      <c r="F37" s="110"/>
    </row>
    <row r="38" spans="4:8" x14ac:dyDescent="0.25">
      <c r="E38" s="55"/>
      <c r="F38" s="110"/>
    </row>
  </sheetData>
  <mergeCells count="28">
    <mergeCell ref="D6:D7"/>
    <mergeCell ref="B1:C1"/>
    <mergeCell ref="B3:F3"/>
    <mergeCell ref="E4:F4"/>
    <mergeCell ref="B5:D5"/>
    <mergeCell ref="E35:F35"/>
    <mergeCell ref="D9:D11"/>
    <mergeCell ref="C8:D8"/>
    <mergeCell ref="C12:D12"/>
    <mergeCell ref="C20:D20"/>
    <mergeCell ref="E34:F34"/>
    <mergeCell ref="E28:F28"/>
    <mergeCell ref="F23:F24"/>
    <mergeCell ref="E23:E24"/>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2" ma:contentTypeDescription="Kurkite naują dokumentą." ma:contentTypeScope="" ma:versionID="118a0949ad199c24ccd2f7283af59048">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aefc51aa35de58ebe8a33920224b63e7"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82EF8B-66EA-4F82-A307-9453EED8E315}">
  <ds:schemaRefs>
    <ds:schemaRef ds:uri="http://schemas.microsoft.com/office/2006/metadata/properties"/>
    <ds:schemaRef ds:uri="http://schemas.microsoft.com/office/infopath/2007/PartnerControls"/>
    <ds:schemaRef ds:uri="c102cb31-f5d5-4956-a0cb-1590ba369788"/>
  </ds:schemaRefs>
</ds:datastoreItem>
</file>

<file path=customXml/itemProps2.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3.xml><?xml version="1.0" encoding="utf-8"?>
<ds:datastoreItem xmlns:ds="http://schemas.openxmlformats.org/officeDocument/2006/customXml" ds:itemID="{C52AB965-293A-4082-9F58-B462E66D0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2021-05-12T09:18:38Z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ies>
</file>